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1"/>
  <workbookPr defaultThemeVersion="124226"/>
  <mc:AlternateContent xmlns:mc="http://schemas.openxmlformats.org/markup-compatibility/2006">
    <mc:Choice Requires="x15">
      <x15ac:absPath xmlns:x15ac="http://schemas.microsoft.com/office/spreadsheetml/2010/11/ac" url="/Volumes/FUCCIA/"/>
    </mc:Choice>
  </mc:AlternateContent>
  <xr:revisionPtr revIDLastSave="0" documentId="8_{31363C55-DBE9-EE45-BBC3-A10E90A99EF6}" xr6:coauthVersionLast="36" xr6:coauthVersionMax="36" xr10:uidLastSave="{00000000-0000-0000-0000-000000000000}"/>
  <workbookProtection workbookAlgorithmName="SHA-512" workbookHashValue="G6+ug7tTfGcbCqIKr01Lk1OQH7xL/w5kdMaXDViYFpmd8Ea1XGGAAVsT6CZW4oX4g2I3XmzhFknhUrdDzmdzdw==" workbookSaltValue="Nw8oLVTomRtTUc7leORlsg==" workbookSpinCount="100000" lockStructure="1"/>
  <bookViews>
    <workbookView xWindow="0" yWindow="460" windowWidth="29620" windowHeight="20180" tabRatio="923" activeTab="5" xr2:uid="{00000000-000D-0000-FFFF-FFFF00000000}"/>
  </bookViews>
  <sheets>
    <sheet name="Resumen" sheetId="24" r:id="rId1"/>
    <sheet name="Metodologia" sheetId="12" state="hidden" r:id="rId2"/>
    <sheet name="Costo fiscal Estado Nac" sheetId="23" state="hidden" r:id="rId3"/>
    <sheet name="Ahorro GLP-GN" sheetId="11" state="hidden" r:id="rId4"/>
    <sheet name="Tarifas" sheetId="16" state="hidden" r:id="rId5"/>
    <sheet name="A" sheetId="25" r:id="rId6"/>
    <sheet name="B" sheetId="27" r:id="rId7"/>
    <sheet name="C" sheetId="2" r:id="rId8"/>
    <sheet name="D" sheetId="18" r:id="rId9"/>
    <sheet name="E" sheetId="19" r:id="rId10"/>
  </sheets>
  <definedNames>
    <definedName name="tax" localSheetId="5">Metodologia!#REF!</definedName>
    <definedName name="tax" localSheetId="6">Metodologia!#REF!</definedName>
    <definedName name="tax" localSheetId="8">Metodologia!#REF!</definedName>
    <definedName name="tax" localSheetId="9">Metodologia!#REF!</definedName>
    <definedName name="tax">Metodologia!#REF!</definedName>
  </definedNames>
  <calcPr calcId="181029"/>
</workbook>
</file>

<file path=xl/calcChain.xml><?xml version="1.0" encoding="utf-8"?>
<calcChain xmlns="http://schemas.openxmlformats.org/spreadsheetml/2006/main">
  <c r="B30" i="23" l="1"/>
  <c r="C55" i="23"/>
  <c r="B19" i="23" s="1"/>
  <c r="B21" i="23"/>
  <c r="H55" i="23"/>
  <c r="G55" i="23"/>
  <c r="F55" i="23"/>
  <c r="B20" i="23" s="1"/>
  <c r="E55" i="23"/>
  <c r="D55" i="23"/>
  <c r="B22" i="23" s="1"/>
  <c r="E4" i="11"/>
  <c r="E3" i="11"/>
  <c r="B17" i="23" l="1"/>
  <c r="B23" i="23" s="1"/>
  <c r="C4" i="27" l="1"/>
  <c r="D26" i="27"/>
  <c r="C26" i="27"/>
  <c r="E13" i="27"/>
  <c r="E26" i="27" s="1"/>
  <c r="C5" i="27"/>
  <c r="D26" i="25"/>
  <c r="C26" i="25"/>
  <c r="E13" i="25"/>
  <c r="F13" i="25" s="1"/>
  <c r="C6" i="25"/>
  <c r="C5" i="25"/>
  <c r="C7" i="25"/>
  <c r="F13" i="27" l="1"/>
  <c r="G13" i="27" s="1"/>
  <c r="G26" i="27" s="1"/>
  <c r="C6" i="27"/>
  <c r="C25" i="27"/>
  <c r="C27" i="27" s="1"/>
  <c r="E26" i="25"/>
  <c r="G13" i="25"/>
  <c r="F26" i="25"/>
  <c r="H13" i="27" l="1"/>
  <c r="F26" i="27"/>
  <c r="C25" i="25"/>
  <c r="C27" i="25" s="1"/>
  <c r="H26" i="27"/>
  <c r="I13" i="27"/>
  <c r="H13" i="25"/>
  <c r="G26" i="25"/>
  <c r="J13" i="27" l="1"/>
  <c r="I26" i="27"/>
  <c r="H26" i="25"/>
  <c r="I13" i="25"/>
  <c r="K13" i="27" l="1"/>
  <c r="J26" i="27"/>
  <c r="J13" i="25"/>
  <c r="I26" i="25"/>
  <c r="C7" i="18"/>
  <c r="H4" i="11"/>
  <c r="B12" i="11" s="1"/>
  <c r="C12" i="11" s="1"/>
  <c r="L13" i="27" l="1"/>
  <c r="K26" i="27"/>
  <c r="K13" i="25"/>
  <c r="J26" i="25"/>
  <c r="B6" i="11"/>
  <c r="B8" i="11" s="1"/>
  <c r="C26" i="2"/>
  <c r="D26" i="18"/>
  <c r="D26" i="19"/>
  <c r="C25" i="19"/>
  <c r="B10" i="23"/>
  <c r="B27" i="23" s="1"/>
  <c r="C12" i="23"/>
  <c r="C10" i="23" s="1"/>
  <c r="C21" i="23"/>
  <c r="C20" i="23"/>
  <c r="C19" i="23"/>
  <c r="C18" i="23"/>
  <c r="C17" i="23"/>
  <c r="C22" i="23"/>
  <c r="B7" i="11" l="1"/>
  <c r="C8" i="11" s="1"/>
  <c r="C11" i="23"/>
  <c r="C11" i="11"/>
  <c r="C13" i="11" s="1"/>
  <c r="C14" i="11" s="1"/>
  <c r="N20" i="25" s="1"/>
  <c r="C7" i="23"/>
  <c r="C27" i="23"/>
  <c r="E30" i="23" s="1"/>
  <c r="C6" i="23"/>
  <c r="C9" i="23"/>
  <c r="C8" i="23"/>
  <c r="J20" i="27"/>
  <c r="V20" i="25"/>
  <c r="R20" i="25"/>
  <c r="Q20" i="27"/>
  <c r="M20" i="27"/>
  <c r="I20" i="27"/>
  <c r="E20" i="27"/>
  <c r="E20" i="25"/>
  <c r="T20" i="27"/>
  <c r="P20" i="27"/>
  <c r="L20" i="27"/>
  <c r="L20" i="25"/>
  <c r="H20" i="25"/>
  <c r="D20" i="25"/>
  <c r="W20" i="27"/>
  <c r="W20" i="25"/>
  <c r="S20" i="25"/>
  <c r="O20" i="25"/>
  <c r="K20" i="25"/>
  <c r="L26" i="27"/>
  <c r="M13" i="27"/>
  <c r="K26" i="25"/>
  <c r="L13" i="25"/>
  <c r="F5" i="12"/>
  <c r="H6" i="12"/>
  <c r="I6" i="12" s="1"/>
  <c r="G5" i="12"/>
  <c r="H7" i="12"/>
  <c r="I7" i="12" s="1"/>
  <c r="F20" i="27" l="1"/>
  <c r="S17" i="25"/>
  <c r="C30" i="23"/>
  <c r="D30" i="23" s="1"/>
  <c r="P20" i="25"/>
  <c r="U20" i="27"/>
  <c r="T20" i="25"/>
  <c r="R20" i="27"/>
  <c r="O20" i="27"/>
  <c r="D20" i="27"/>
  <c r="Q20" i="25"/>
  <c r="J20" i="25"/>
  <c r="V20" i="27"/>
  <c r="H5" i="12"/>
  <c r="I5" i="12" s="1"/>
  <c r="G20" i="27"/>
  <c r="I20" i="25"/>
  <c r="N20" i="27"/>
  <c r="K20" i="27"/>
  <c r="M20" i="25"/>
  <c r="F20" i="25"/>
  <c r="G20" i="25"/>
  <c r="S20" i="27"/>
  <c r="H20" i="27"/>
  <c r="U20" i="25"/>
  <c r="M17" i="27"/>
  <c r="W17" i="25"/>
  <c r="T17" i="27"/>
  <c r="K17" i="27"/>
  <c r="L17" i="27"/>
  <c r="W17" i="27"/>
  <c r="I17" i="25"/>
  <c r="N17" i="25"/>
  <c r="T17" i="25"/>
  <c r="K17" i="25"/>
  <c r="S17" i="27"/>
  <c r="J17" i="27"/>
  <c r="P17" i="27"/>
  <c r="F17" i="27"/>
  <c r="P17" i="25"/>
  <c r="G17" i="27"/>
  <c r="D17" i="27"/>
  <c r="U17" i="25"/>
  <c r="V17" i="25"/>
  <c r="L17" i="25"/>
  <c r="I17" i="27"/>
  <c r="O17" i="25"/>
  <c r="R17" i="27"/>
  <c r="N17" i="27"/>
  <c r="Q17" i="25"/>
  <c r="H17" i="27"/>
  <c r="U17" i="27"/>
  <c r="O17" i="27"/>
  <c r="E17" i="27"/>
  <c r="V17" i="27"/>
  <c r="N13" i="27"/>
  <c r="M26" i="27"/>
  <c r="L26" i="25"/>
  <c r="M13" i="25"/>
  <c r="B7" i="12"/>
  <c r="B5" i="12" s="1"/>
  <c r="D22" i="2" l="1"/>
  <c r="L22" i="2"/>
  <c r="T22" i="2"/>
  <c r="N22" i="2"/>
  <c r="O22" i="2"/>
  <c r="H22" i="2"/>
  <c r="Q22" i="2"/>
  <c r="R22" i="2"/>
  <c r="K22" i="2"/>
  <c r="E22" i="2"/>
  <c r="M22" i="2"/>
  <c r="U22" i="2"/>
  <c r="V22" i="2"/>
  <c r="W22" i="2"/>
  <c r="P22" i="2"/>
  <c r="I22" i="2"/>
  <c r="J22" i="2"/>
  <c r="S22" i="2"/>
  <c r="F22" i="2"/>
  <c r="G22" i="2"/>
  <c r="H22" i="25"/>
  <c r="M22" i="25"/>
  <c r="K22" i="25"/>
  <c r="P22" i="25"/>
  <c r="U22" i="25"/>
  <c r="S22" i="25"/>
  <c r="I22" i="25"/>
  <c r="L22" i="25"/>
  <c r="T22" i="25"/>
  <c r="J22" i="25"/>
  <c r="N22" i="25"/>
  <c r="G22" i="25"/>
  <c r="O22" i="25"/>
  <c r="W22" i="25"/>
  <c r="Q22" i="25"/>
  <c r="R22" i="25"/>
  <c r="F22" i="25"/>
  <c r="E22" i="25"/>
  <c r="V22" i="25"/>
  <c r="D22" i="25"/>
  <c r="R17" i="25"/>
  <c r="H17" i="25"/>
  <c r="G17" i="25"/>
  <c r="D17" i="25"/>
  <c r="F17" i="25"/>
  <c r="E17" i="25"/>
  <c r="M17" i="25"/>
  <c r="Q17" i="27"/>
  <c r="J17" i="25"/>
  <c r="O22" i="27"/>
  <c r="D22" i="27"/>
  <c r="T22" i="27"/>
  <c r="M22" i="27"/>
  <c r="J22" i="27"/>
  <c r="L22" i="27"/>
  <c r="R22" i="27"/>
  <c r="W22" i="27"/>
  <c r="P22" i="27"/>
  <c r="V22" i="27"/>
  <c r="S22" i="27"/>
  <c r="H22" i="27"/>
  <c r="Q22" i="27"/>
  <c r="N22" i="27"/>
  <c r="E22" i="27"/>
  <c r="U22" i="27"/>
  <c r="K22" i="27"/>
  <c r="I22" i="27"/>
  <c r="F22" i="27"/>
  <c r="G22" i="27"/>
  <c r="O13" i="27"/>
  <c r="N26" i="27"/>
  <c r="N13" i="25"/>
  <c r="M26" i="25"/>
  <c r="H22" i="19"/>
  <c r="H22" i="18"/>
  <c r="D22" i="18"/>
  <c r="E22" i="18"/>
  <c r="G22" i="19"/>
  <c r="G22" i="18"/>
  <c r="F22" i="18"/>
  <c r="M22" i="19"/>
  <c r="M22" i="18"/>
  <c r="C6" i="19"/>
  <c r="D22" i="19" s="1"/>
  <c r="C26" i="19"/>
  <c r="E13" i="19"/>
  <c r="E26" i="19" s="1"/>
  <c r="C26" i="18"/>
  <c r="C25" i="18"/>
  <c r="E13" i="18"/>
  <c r="E26" i="18" s="1"/>
  <c r="F22" i="19" l="1"/>
  <c r="F13" i="18"/>
  <c r="F26" i="18" s="1"/>
  <c r="R22" i="19"/>
  <c r="E22" i="19"/>
  <c r="O26" i="27"/>
  <c r="P13" i="27"/>
  <c r="O13" i="25"/>
  <c r="N26" i="25"/>
  <c r="C27" i="18"/>
  <c r="C27" i="19"/>
  <c r="U22" i="19"/>
  <c r="F13" i="19"/>
  <c r="T22" i="18"/>
  <c r="I22" i="19"/>
  <c r="Q22" i="19"/>
  <c r="L22" i="18"/>
  <c r="P22" i="18"/>
  <c r="J22" i="18"/>
  <c r="W22" i="19"/>
  <c r="K22" i="19"/>
  <c r="O22" i="19"/>
  <c r="S22" i="19"/>
  <c r="I22" i="18"/>
  <c r="Q22" i="18"/>
  <c r="U22" i="18"/>
  <c r="J22" i="19"/>
  <c r="N22" i="19"/>
  <c r="V22" i="19"/>
  <c r="K22" i="18"/>
  <c r="O22" i="18"/>
  <c r="S22" i="18"/>
  <c r="W22" i="18"/>
  <c r="L22" i="19"/>
  <c r="P22" i="19"/>
  <c r="T22" i="19"/>
  <c r="N22" i="18"/>
  <c r="R22" i="18"/>
  <c r="V22" i="18"/>
  <c r="C25" i="2"/>
  <c r="C27" i="2" s="1"/>
  <c r="G13" i="18" l="1"/>
  <c r="G26" i="18" s="1"/>
  <c r="G13" i="19"/>
  <c r="F26" i="19"/>
  <c r="P26" i="27"/>
  <c r="Q13" i="27"/>
  <c r="O26" i="25"/>
  <c r="P13" i="25"/>
  <c r="H13" i="18"/>
  <c r="H26" i="18" s="1"/>
  <c r="G26" i="19" l="1"/>
  <c r="H13" i="19"/>
  <c r="R13" i="27"/>
  <c r="Q26" i="27"/>
  <c r="P26" i="25"/>
  <c r="Q13" i="25"/>
  <c r="I13" i="18"/>
  <c r="C4" i="11"/>
  <c r="G28" i="16"/>
  <c r="G27" i="16"/>
  <c r="G26" i="16"/>
  <c r="G21" i="16"/>
  <c r="G20" i="16"/>
  <c r="G19" i="16"/>
  <c r="G14" i="16"/>
  <c r="G13" i="16"/>
  <c r="G12" i="16"/>
  <c r="G11" i="16"/>
  <c r="G10" i="16"/>
  <c r="G9" i="16"/>
  <c r="G8" i="16"/>
  <c r="G7" i="16"/>
  <c r="H26" i="19" l="1"/>
  <c r="I13" i="19"/>
  <c r="S13" i="27"/>
  <c r="R26" i="27"/>
  <c r="R13" i="25"/>
  <c r="Q26" i="25"/>
  <c r="I26" i="18"/>
  <c r="J13" i="18"/>
  <c r="J13" i="19" l="1"/>
  <c r="I26" i="19"/>
  <c r="S26" i="27"/>
  <c r="T13" i="27"/>
  <c r="S13" i="25"/>
  <c r="R26" i="25"/>
  <c r="J26" i="18"/>
  <c r="K13" i="18"/>
  <c r="E54" i="12"/>
  <c r="E57" i="12"/>
  <c r="E53" i="12"/>
  <c r="E49" i="12"/>
  <c r="E48" i="12"/>
  <c r="E47" i="12"/>
  <c r="K13" i="19" l="1"/>
  <c r="J26" i="19"/>
  <c r="T26" i="27"/>
  <c r="U13" i="27"/>
  <c r="S26" i="25"/>
  <c r="T13" i="25"/>
  <c r="K26" i="18"/>
  <c r="L13" i="18"/>
  <c r="K26" i="19" l="1"/>
  <c r="L13" i="19"/>
  <c r="V13" i="27"/>
  <c r="U26" i="27"/>
  <c r="T26" i="25"/>
  <c r="U13" i="25"/>
  <c r="L26" i="18"/>
  <c r="M13" i="18"/>
  <c r="M26" i="18" s="1"/>
  <c r="E55" i="12"/>
  <c r="B13" i="12" s="1"/>
  <c r="L26" i="19" l="1"/>
  <c r="M13" i="19"/>
  <c r="W13" i="27"/>
  <c r="W26" i="27" s="1"/>
  <c r="V26" i="27"/>
  <c r="V13" i="25"/>
  <c r="U26" i="25"/>
  <c r="N13" i="18"/>
  <c r="B43" i="12"/>
  <c r="M26" i="19" l="1"/>
  <c r="N13" i="19"/>
  <c r="W13" i="25"/>
  <c r="W26" i="25" s="1"/>
  <c r="V26" i="25"/>
  <c r="N26" i="18"/>
  <c r="O13" i="18"/>
  <c r="C3" i="2"/>
  <c r="O13" i="19" l="1"/>
  <c r="N26" i="19"/>
  <c r="O26" i="18"/>
  <c r="P13" i="18"/>
  <c r="B4" i="12"/>
  <c r="D26" i="2"/>
  <c r="P13" i="19" l="1"/>
  <c r="O26" i="19"/>
  <c r="P26" i="18"/>
  <c r="Q13" i="18"/>
  <c r="B12" i="12"/>
  <c r="B14" i="12" s="1"/>
  <c r="C8" i="19" l="1"/>
  <c r="C8" i="25"/>
  <c r="C8" i="27"/>
  <c r="P26" i="19"/>
  <c r="Q13" i="19"/>
  <c r="C8" i="18"/>
  <c r="Q26" i="18"/>
  <c r="R13" i="18"/>
  <c r="R26" i="18" s="1"/>
  <c r="E13" i="2"/>
  <c r="S18" i="27" l="1"/>
  <c r="I18" i="27"/>
  <c r="W18" i="27"/>
  <c r="P18" i="27"/>
  <c r="L18" i="27"/>
  <c r="V18" i="27"/>
  <c r="E18" i="27"/>
  <c r="F18" i="27"/>
  <c r="K18" i="27"/>
  <c r="M18" i="27"/>
  <c r="J18" i="27"/>
  <c r="T18" i="27"/>
  <c r="Q18" i="27"/>
  <c r="U18" i="27"/>
  <c r="D18" i="27"/>
  <c r="N18" i="27"/>
  <c r="G18" i="27"/>
  <c r="H18" i="27"/>
  <c r="R18" i="27"/>
  <c r="O18" i="27"/>
  <c r="V18" i="25"/>
  <c r="D18" i="25"/>
  <c r="N18" i="25"/>
  <c r="O18" i="25"/>
  <c r="T18" i="25"/>
  <c r="I18" i="25"/>
  <c r="H18" i="25"/>
  <c r="Q18" i="25"/>
  <c r="S18" i="25"/>
  <c r="W18" i="25"/>
  <c r="E18" i="25"/>
  <c r="M18" i="25"/>
  <c r="J18" i="25"/>
  <c r="L18" i="25"/>
  <c r="R18" i="25"/>
  <c r="P18" i="25"/>
  <c r="U18" i="25"/>
  <c r="G18" i="25"/>
  <c r="K18" i="25"/>
  <c r="F18" i="25"/>
  <c r="R13" i="19"/>
  <c r="Q26" i="19"/>
  <c r="G18" i="18"/>
  <c r="E18" i="18"/>
  <c r="H18" i="18"/>
  <c r="D18" i="18"/>
  <c r="R18" i="18"/>
  <c r="F18" i="18"/>
  <c r="M18" i="18"/>
  <c r="T18" i="18"/>
  <c r="J18" i="18"/>
  <c r="V18" i="18"/>
  <c r="W18" i="18"/>
  <c r="K18" i="18"/>
  <c r="L18" i="18"/>
  <c r="Q18" i="18"/>
  <c r="N18" i="18"/>
  <c r="S18" i="18"/>
  <c r="U18" i="18"/>
  <c r="O18" i="18"/>
  <c r="P18" i="18"/>
  <c r="I18" i="18"/>
  <c r="V18" i="19"/>
  <c r="L18" i="19"/>
  <c r="W18" i="19"/>
  <c r="M18" i="19"/>
  <c r="J18" i="19"/>
  <c r="S18" i="19"/>
  <c r="F18" i="19"/>
  <c r="O18" i="19"/>
  <c r="P18" i="19"/>
  <c r="Q18" i="19"/>
  <c r="N18" i="19"/>
  <c r="G18" i="19"/>
  <c r="K18" i="19"/>
  <c r="D18" i="19"/>
  <c r="T18" i="19"/>
  <c r="E18" i="19"/>
  <c r="U18" i="19"/>
  <c r="R18" i="19"/>
  <c r="H18" i="19"/>
  <c r="I18" i="19"/>
  <c r="S13" i="18"/>
  <c r="F13" i="2"/>
  <c r="E26" i="2"/>
  <c r="B4" i="11"/>
  <c r="D9" i="12"/>
  <c r="E9" i="12" s="1"/>
  <c r="F9" i="12" s="1"/>
  <c r="G9" i="12" s="1"/>
  <c r="H9" i="12" s="1"/>
  <c r="I9" i="12" s="1"/>
  <c r="J9" i="12" s="1"/>
  <c r="K9" i="12" s="1"/>
  <c r="L9" i="12" s="1"/>
  <c r="M9" i="12" s="1"/>
  <c r="N9" i="12" s="1"/>
  <c r="O9" i="12" s="1"/>
  <c r="P9" i="12" s="1"/>
  <c r="Q9" i="12" s="1"/>
  <c r="R9" i="12" s="1"/>
  <c r="S9" i="12" s="1"/>
  <c r="T9" i="12" s="1"/>
  <c r="U9" i="12" s="1"/>
  <c r="V9" i="12" s="1"/>
  <c r="R26" i="19" l="1"/>
  <c r="S13" i="19"/>
  <c r="C5" i="2"/>
  <c r="C5" i="19"/>
  <c r="C5" i="18"/>
  <c r="B11" i="11"/>
  <c r="S26" i="18"/>
  <c r="T13" i="18"/>
  <c r="G13" i="2"/>
  <c r="F26" i="2"/>
  <c r="C8" i="2"/>
  <c r="T13" i="19" l="1"/>
  <c r="S26" i="19"/>
  <c r="M17" i="18"/>
  <c r="E17" i="18"/>
  <c r="D17" i="18"/>
  <c r="F17" i="18"/>
  <c r="H17" i="18"/>
  <c r="G17" i="18"/>
  <c r="G17" i="2"/>
  <c r="D17" i="2"/>
  <c r="F17" i="2"/>
  <c r="E17" i="2"/>
  <c r="H17" i="2"/>
  <c r="M17" i="2"/>
  <c r="R17" i="2"/>
  <c r="G18" i="2"/>
  <c r="M18" i="2"/>
  <c r="E18" i="2"/>
  <c r="D18" i="2"/>
  <c r="R18" i="2"/>
  <c r="F18" i="2"/>
  <c r="H18" i="2"/>
  <c r="M17" i="19"/>
  <c r="E17" i="19"/>
  <c r="T17" i="19"/>
  <c r="O17" i="19"/>
  <c r="J17" i="19"/>
  <c r="R17" i="19"/>
  <c r="F17" i="19"/>
  <c r="H17" i="19"/>
  <c r="D17" i="19"/>
  <c r="S17" i="19"/>
  <c r="N17" i="19"/>
  <c r="I17" i="19"/>
  <c r="U17" i="19"/>
  <c r="K17" i="19"/>
  <c r="W17" i="19"/>
  <c r="G17" i="19"/>
  <c r="V17" i="19"/>
  <c r="Q17" i="19"/>
  <c r="L17" i="19"/>
  <c r="P17" i="19"/>
  <c r="L17" i="18"/>
  <c r="Q17" i="18"/>
  <c r="V17" i="18"/>
  <c r="K17" i="18"/>
  <c r="I17" i="18"/>
  <c r="N17" i="18"/>
  <c r="S17" i="18"/>
  <c r="W17" i="18"/>
  <c r="P17" i="18"/>
  <c r="U17" i="18"/>
  <c r="R17" i="18"/>
  <c r="J17" i="18"/>
  <c r="O17" i="18"/>
  <c r="T17" i="18"/>
  <c r="I17" i="2"/>
  <c r="N17" i="2"/>
  <c r="S17" i="2"/>
  <c r="W17" i="2"/>
  <c r="L17" i="2"/>
  <c r="V17" i="2"/>
  <c r="J17" i="2"/>
  <c r="O17" i="2"/>
  <c r="T17" i="2"/>
  <c r="Q17" i="2"/>
  <c r="K17" i="2"/>
  <c r="P17" i="2"/>
  <c r="U17" i="2"/>
  <c r="B13" i="11"/>
  <c r="B14" i="11" s="1"/>
  <c r="E13" i="11"/>
  <c r="E14" i="11" s="1"/>
  <c r="T26" i="18"/>
  <c r="U13" i="18"/>
  <c r="L18" i="2"/>
  <c r="J18" i="2"/>
  <c r="K18" i="2"/>
  <c r="I18" i="2"/>
  <c r="O18" i="2"/>
  <c r="N18" i="2"/>
  <c r="H13" i="2"/>
  <c r="G26" i="2"/>
  <c r="W18" i="2"/>
  <c r="S18" i="2"/>
  <c r="P18" i="2"/>
  <c r="V18" i="2"/>
  <c r="U18" i="2"/>
  <c r="Q18" i="2"/>
  <c r="T18" i="2"/>
  <c r="T26" i="19" l="1"/>
  <c r="U13" i="19"/>
  <c r="T21" i="27"/>
  <c r="T25" i="27" s="1"/>
  <c r="T27" i="27" s="1"/>
  <c r="E21" i="27"/>
  <c r="E25" i="27" s="1"/>
  <c r="E27" i="27" s="1"/>
  <c r="T21" i="25"/>
  <c r="P21" i="25"/>
  <c r="L21" i="25"/>
  <c r="H21" i="25"/>
  <c r="D21" i="25"/>
  <c r="G21" i="25"/>
  <c r="L21" i="27"/>
  <c r="L25" i="27" s="1"/>
  <c r="L27" i="27" s="1"/>
  <c r="R21" i="25"/>
  <c r="J21" i="25"/>
  <c r="P21" i="27"/>
  <c r="P25" i="27" s="1"/>
  <c r="P27" i="27" s="1"/>
  <c r="D21" i="27"/>
  <c r="D25" i="27" s="1"/>
  <c r="D27" i="27" s="1"/>
  <c r="W21" i="25"/>
  <c r="S21" i="25"/>
  <c r="O21" i="25"/>
  <c r="K21" i="25"/>
  <c r="V21" i="25"/>
  <c r="N21" i="25"/>
  <c r="F21" i="25"/>
  <c r="I21" i="27"/>
  <c r="I25" i="27" s="1"/>
  <c r="I27" i="27" s="1"/>
  <c r="U21" i="25"/>
  <c r="Q21" i="25"/>
  <c r="M21" i="25"/>
  <c r="I21" i="25"/>
  <c r="E21" i="25"/>
  <c r="W21" i="27"/>
  <c r="W25" i="27" s="1"/>
  <c r="W27" i="27" s="1"/>
  <c r="H21" i="27"/>
  <c r="H25" i="27" s="1"/>
  <c r="H27" i="27" s="1"/>
  <c r="M21" i="27"/>
  <c r="M25" i="27" s="1"/>
  <c r="M27" i="27" s="1"/>
  <c r="J21" i="27"/>
  <c r="J25" i="27" s="1"/>
  <c r="J27" i="27" s="1"/>
  <c r="S21" i="27"/>
  <c r="S25" i="27" s="1"/>
  <c r="S27" i="27" s="1"/>
  <c r="R21" i="27"/>
  <c r="R25" i="27" s="1"/>
  <c r="R27" i="27" s="1"/>
  <c r="V21" i="27"/>
  <c r="V25" i="27" s="1"/>
  <c r="V27" i="27" s="1"/>
  <c r="Q21" i="27"/>
  <c r="Q25" i="27" s="1"/>
  <c r="Q27" i="27" s="1"/>
  <c r="U21" i="27"/>
  <c r="U25" i="27" s="1"/>
  <c r="U27" i="27" s="1"/>
  <c r="N21" i="27"/>
  <c r="N25" i="27" s="1"/>
  <c r="N27" i="27" s="1"/>
  <c r="G21" i="27"/>
  <c r="G25" i="27" s="1"/>
  <c r="G27" i="27" s="1"/>
  <c r="K21" i="27"/>
  <c r="K25" i="27" s="1"/>
  <c r="K27" i="27" s="1"/>
  <c r="F21" i="27"/>
  <c r="F25" i="27" s="1"/>
  <c r="F27" i="27" s="1"/>
  <c r="O21" i="27"/>
  <c r="O25" i="27" s="1"/>
  <c r="O27" i="27" s="1"/>
  <c r="M21" i="19"/>
  <c r="R21" i="19"/>
  <c r="W21" i="2"/>
  <c r="R21" i="2"/>
  <c r="M21" i="2"/>
  <c r="F20" i="2"/>
  <c r="T20" i="2"/>
  <c r="P20" i="2"/>
  <c r="L20" i="2"/>
  <c r="D20" i="2"/>
  <c r="H20" i="2"/>
  <c r="V20" i="2"/>
  <c r="N20" i="2"/>
  <c r="J20" i="2"/>
  <c r="U20" i="2"/>
  <c r="M20" i="2"/>
  <c r="E20" i="2"/>
  <c r="W20" i="2"/>
  <c r="S20" i="2"/>
  <c r="O20" i="2"/>
  <c r="K20" i="2"/>
  <c r="R20" i="2"/>
  <c r="Q20" i="2"/>
  <c r="I20" i="2"/>
  <c r="G20" i="2"/>
  <c r="G21" i="19"/>
  <c r="W21" i="19"/>
  <c r="E21" i="2"/>
  <c r="V21" i="19"/>
  <c r="Q21" i="19"/>
  <c r="L21" i="19"/>
  <c r="G21" i="18"/>
  <c r="W21" i="18"/>
  <c r="S21" i="18"/>
  <c r="N21" i="18"/>
  <c r="I21" i="18"/>
  <c r="U21" i="2"/>
  <c r="P21" i="2"/>
  <c r="K21" i="2"/>
  <c r="G21" i="2"/>
  <c r="N21" i="2"/>
  <c r="D21" i="19"/>
  <c r="I21" i="19"/>
  <c r="H21" i="18"/>
  <c r="O21" i="18"/>
  <c r="Q21" i="2"/>
  <c r="F21" i="19"/>
  <c r="D21" i="2"/>
  <c r="U21" i="19"/>
  <c r="P21" i="19"/>
  <c r="K21" i="19"/>
  <c r="R21" i="18"/>
  <c r="F21" i="18"/>
  <c r="V21" i="18"/>
  <c r="Q21" i="18"/>
  <c r="L21" i="18"/>
  <c r="T21" i="2"/>
  <c r="O21" i="2"/>
  <c r="J21" i="2"/>
  <c r="S21" i="2"/>
  <c r="I21" i="2"/>
  <c r="H21" i="19"/>
  <c r="F21" i="2"/>
  <c r="N21" i="19"/>
  <c r="D21" i="18"/>
  <c r="J21" i="18"/>
  <c r="V21" i="2"/>
  <c r="L21" i="2"/>
  <c r="E21" i="19"/>
  <c r="T21" i="19"/>
  <c r="O21" i="19"/>
  <c r="J21" i="19"/>
  <c r="M21" i="18"/>
  <c r="E21" i="18"/>
  <c r="U21" i="18"/>
  <c r="P21" i="18"/>
  <c r="K21" i="18"/>
  <c r="S21" i="19"/>
  <c r="T21" i="18"/>
  <c r="H21" i="2"/>
  <c r="H20" i="18"/>
  <c r="D20" i="18"/>
  <c r="G20" i="18"/>
  <c r="F20" i="18"/>
  <c r="M20" i="18"/>
  <c r="E20" i="18"/>
  <c r="W20" i="19"/>
  <c r="S20" i="19"/>
  <c r="D20" i="19"/>
  <c r="T20" i="19"/>
  <c r="M20" i="19"/>
  <c r="F20" i="19"/>
  <c r="V20" i="19"/>
  <c r="N20" i="18"/>
  <c r="O20" i="18"/>
  <c r="P20" i="18"/>
  <c r="V20" i="18"/>
  <c r="J20" i="18"/>
  <c r="S20" i="18"/>
  <c r="T20" i="18"/>
  <c r="K20" i="18"/>
  <c r="Q20" i="18"/>
  <c r="H20" i="19"/>
  <c r="Q20" i="19"/>
  <c r="J20" i="19"/>
  <c r="I20" i="18"/>
  <c r="R20" i="18"/>
  <c r="L20" i="19"/>
  <c r="E20" i="19"/>
  <c r="U20" i="19"/>
  <c r="N20" i="19"/>
  <c r="U20" i="18"/>
  <c r="W20" i="18"/>
  <c r="G20" i="19"/>
  <c r="P20" i="19"/>
  <c r="O20" i="19"/>
  <c r="I20" i="19"/>
  <c r="K20" i="19"/>
  <c r="R20" i="19"/>
  <c r="L20" i="18"/>
  <c r="U26" i="18"/>
  <c r="V13" i="18"/>
  <c r="I13" i="2"/>
  <c r="J13" i="2" s="1"/>
  <c r="K13" i="2" s="1"/>
  <c r="L13" i="2" s="1"/>
  <c r="M13" i="2" s="1"/>
  <c r="N13" i="2" s="1"/>
  <c r="O13" i="2" s="1"/>
  <c r="P13" i="2" s="1"/>
  <c r="Q13" i="2" s="1"/>
  <c r="R13" i="2" s="1"/>
  <c r="S13" i="2" s="1"/>
  <c r="T13" i="2" s="1"/>
  <c r="U13" i="2" s="1"/>
  <c r="V13" i="2" s="1"/>
  <c r="W13" i="2" s="1"/>
  <c r="H26" i="2"/>
  <c r="U26" i="19" l="1"/>
  <c r="V13" i="19"/>
  <c r="M25" i="25"/>
  <c r="M27" i="25" s="1"/>
  <c r="F25" i="25"/>
  <c r="F27" i="25" s="1"/>
  <c r="O25" i="25"/>
  <c r="O27" i="25" s="1"/>
  <c r="G25" i="25"/>
  <c r="G27" i="25" s="1"/>
  <c r="P25" i="25"/>
  <c r="P27" i="25" s="1"/>
  <c r="Q25" i="25"/>
  <c r="Q27" i="25" s="1"/>
  <c r="N25" i="25"/>
  <c r="N27" i="25" s="1"/>
  <c r="S25" i="25"/>
  <c r="S27" i="25" s="1"/>
  <c r="J25" i="25"/>
  <c r="J27" i="25" s="1"/>
  <c r="D25" i="25"/>
  <c r="D27" i="25" s="1"/>
  <c r="T25" i="25"/>
  <c r="T27" i="25" s="1"/>
  <c r="E25" i="25"/>
  <c r="E27" i="25" s="1"/>
  <c r="U25" i="25"/>
  <c r="U27" i="25" s="1"/>
  <c r="V25" i="25"/>
  <c r="V27" i="25" s="1"/>
  <c r="W25" i="25"/>
  <c r="W27" i="25" s="1"/>
  <c r="R25" i="25"/>
  <c r="R27" i="25" s="1"/>
  <c r="H25" i="25"/>
  <c r="H27" i="25" s="1"/>
  <c r="I25" i="25"/>
  <c r="I27" i="25" s="1"/>
  <c r="K25" i="25"/>
  <c r="K27" i="25" s="1"/>
  <c r="L25" i="25"/>
  <c r="L27" i="25" s="1"/>
  <c r="H25" i="19"/>
  <c r="H27" i="19" s="1"/>
  <c r="R25" i="2"/>
  <c r="D25" i="2"/>
  <c r="D27" i="2" s="1"/>
  <c r="F25" i="2"/>
  <c r="V25" i="18"/>
  <c r="E25" i="2"/>
  <c r="E27" i="2" s="1"/>
  <c r="C11" i="27"/>
  <c r="E5" i="24" s="1"/>
  <c r="N25" i="2"/>
  <c r="F25" i="19"/>
  <c r="F27" i="19" s="1"/>
  <c r="W25" i="2"/>
  <c r="L25" i="2"/>
  <c r="W25" i="18"/>
  <c r="E25" i="19"/>
  <c r="E27" i="19" s="1"/>
  <c r="V25" i="19"/>
  <c r="D25" i="19"/>
  <c r="D27" i="19" s="1"/>
  <c r="K25" i="2"/>
  <c r="O25" i="2"/>
  <c r="V25" i="2"/>
  <c r="P25" i="2"/>
  <c r="S25" i="2"/>
  <c r="Q25" i="2"/>
  <c r="G25" i="19"/>
  <c r="G27" i="19" s="1"/>
  <c r="W25" i="19"/>
  <c r="H25" i="2"/>
  <c r="H27" i="2" s="1"/>
  <c r="M25" i="18"/>
  <c r="M27" i="18" s="1"/>
  <c r="H25" i="18"/>
  <c r="H27" i="18" s="1"/>
  <c r="L25" i="18"/>
  <c r="L27" i="18" s="1"/>
  <c r="O25" i="19"/>
  <c r="O27" i="19" s="1"/>
  <c r="U25" i="18"/>
  <c r="U27" i="18" s="1"/>
  <c r="L25" i="19"/>
  <c r="L27" i="19" s="1"/>
  <c r="Q25" i="19"/>
  <c r="Q27" i="19" s="1"/>
  <c r="P25" i="18"/>
  <c r="P27" i="18" s="1"/>
  <c r="S25" i="19"/>
  <c r="S27" i="19" s="1"/>
  <c r="F25" i="18"/>
  <c r="F27" i="18" s="1"/>
  <c r="T25" i="18"/>
  <c r="T27" i="18" s="1"/>
  <c r="I25" i="19"/>
  <c r="I27" i="19" s="1"/>
  <c r="R25" i="18"/>
  <c r="R27" i="18" s="1"/>
  <c r="M25" i="19"/>
  <c r="M27" i="19" s="1"/>
  <c r="F27" i="2"/>
  <c r="J25" i="19"/>
  <c r="J27" i="19" s="1"/>
  <c r="K25" i="18"/>
  <c r="K27" i="18" s="1"/>
  <c r="R25" i="19"/>
  <c r="R27" i="19" s="1"/>
  <c r="P25" i="19"/>
  <c r="P27" i="19" s="1"/>
  <c r="N25" i="19"/>
  <c r="N27" i="19" s="1"/>
  <c r="S25" i="18"/>
  <c r="S27" i="18" s="1"/>
  <c r="O25" i="18"/>
  <c r="O27" i="18" s="1"/>
  <c r="G25" i="18"/>
  <c r="G27" i="18" s="1"/>
  <c r="K25" i="19"/>
  <c r="K27" i="19" s="1"/>
  <c r="U25" i="19"/>
  <c r="U27" i="19" s="1"/>
  <c r="I25" i="18"/>
  <c r="I27" i="18" s="1"/>
  <c r="Q25" i="18"/>
  <c r="Q27" i="18" s="1"/>
  <c r="J25" i="18"/>
  <c r="J27" i="18" s="1"/>
  <c r="N25" i="18"/>
  <c r="N27" i="18" s="1"/>
  <c r="T25" i="19"/>
  <c r="T27" i="19" s="1"/>
  <c r="E25" i="18"/>
  <c r="E27" i="18" s="1"/>
  <c r="D25" i="18"/>
  <c r="D27" i="18" s="1"/>
  <c r="G25" i="2"/>
  <c r="G27" i="2" s="1"/>
  <c r="U25" i="2"/>
  <c r="T25" i="2"/>
  <c r="I25" i="2"/>
  <c r="J25" i="2"/>
  <c r="V26" i="18"/>
  <c r="V27" i="18" s="1"/>
  <c r="W13" i="18"/>
  <c r="W26" i="18" s="1"/>
  <c r="V26" i="19" l="1"/>
  <c r="V27" i="19" s="1"/>
  <c r="W13" i="19"/>
  <c r="W26" i="19" s="1"/>
  <c r="W27" i="19"/>
  <c r="C11" i="25"/>
  <c r="E4" i="24" s="1"/>
  <c r="F4" i="24" s="1"/>
  <c r="W27" i="18"/>
  <c r="C11" i="18" s="1"/>
  <c r="E7" i="24" s="1"/>
  <c r="F7" i="24" s="1"/>
  <c r="C11" i="19" l="1"/>
  <c r="E8" i="24" s="1"/>
  <c r="F8" i="24" s="1"/>
  <c r="I26" i="2"/>
  <c r="M25" i="2" l="1"/>
  <c r="J26" i="2"/>
  <c r="I27" i="2" l="1"/>
  <c r="J27" i="2"/>
  <c r="K26" i="2"/>
  <c r="K27" i="2" l="1"/>
  <c r="L26" i="2"/>
  <c r="L27" i="2" l="1"/>
  <c r="M26" i="2"/>
  <c r="M27" i="2" s="1"/>
  <c r="N26" i="2" l="1"/>
  <c r="N27" i="2" l="1"/>
  <c r="O26" i="2"/>
  <c r="O27" i="2" l="1"/>
  <c r="P26" i="2"/>
  <c r="P27" i="2" l="1"/>
  <c r="Q26" i="2"/>
  <c r="Q27" i="2" l="1"/>
  <c r="R26" i="2"/>
  <c r="R27" i="2" s="1"/>
  <c r="S26" i="2" l="1"/>
  <c r="S27" i="2" l="1"/>
  <c r="T26" i="2"/>
  <c r="T27" i="2" l="1"/>
  <c r="U26" i="2"/>
  <c r="U27" i="2" l="1"/>
  <c r="V26" i="2"/>
  <c r="W26" i="2" l="1"/>
  <c r="W27" i="2" s="1"/>
  <c r="V27" i="2"/>
  <c r="C11" i="2" l="1"/>
  <c r="E6" i="24" s="1"/>
  <c r="F6" i="24" s="1"/>
  <c r="F5" i="24"/>
  <c r="C7" i="27"/>
</calcChain>
</file>

<file path=xl/sharedStrings.xml><?xml version="1.0" encoding="utf-8"?>
<sst xmlns="http://schemas.openxmlformats.org/spreadsheetml/2006/main" count="346" uniqueCount="225">
  <si>
    <t>Localidad</t>
  </si>
  <si>
    <t>Año</t>
  </si>
  <si>
    <t>Usuarios</t>
  </si>
  <si>
    <t>Costo de Conexión</t>
  </si>
  <si>
    <t>FF PRoyecto</t>
  </si>
  <si>
    <t>Tasa de descuento</t>
  </si>
  <si>
    <t>VAN</t>
  </si>
  <si>
    <t>Curva de Incorporación</t>
  </si>
  <si>
    <t>Flujo de Fondos Descontado</t>
  </si>
  <si>
    <t>Factor de Descuento</t>
  </si>
  <si>
    <t>Beneficios Indirectos</t>
  </si>
  <si>
    <t>Gas Envasado (GE):</t>
  </si>
  <si>
    <t>Gas Natural (GN):</t>
  </si>
  <si>
    <t>Consumos y Usuarios de Gas:</t>
  </si>
  <si>
    <t>Cargo Fijo:</t>
  </si>
  <si>
    <t>Consumo/USU/Año:</t>
  </si>
  <si>
    <t>M3</t>
  </si>
  <si>
    <t>Valor M3 Garrafa:</t>
  </si>
  <si>
    <t>CM3C:</t>
  </si>
  <si>
    <t>Usuarios:</t>
  </si>
  <si>
    <t>Servicio Residencial:</t>
  </si>
  <si>
    <t>1)  Gasto Gas Envasado (Año):</t>
  </si>
  <si>
    <t>2)  Gasto Gas Natural (Año):</t>
  </si>
  <si>
    <t xml:space="preserve">Curva de Incorporación </t>
  </si>
  <si>
    <t>Ahorro por usuario</t>
  </si>
  <si>
    <t>Precio Garrafa</t>
  </si>
  <si>
    <t>Incremento M2 lotes</t>
  </si>
  <si>
    <t>Tipo de cambio</t>
  </si>
  <si>
    <t>M2 lote promedio</t>
  </si>
  <si>
    <t>Costo Total x usuario</t>
  </si>
  <si>
    <t>Parcelas</t>
  </si>
  <si>
    <t>Valor de Inversión</t>
  </si>
  <si>
    <t>SI</t>
  </si>
  <si>
    <t>%</t>
  </si>
  <si>
    <t>Beneficios Directos</t>
  </si>
  <si>
    <t>SIN OBRA</t>
  </si>
  <si>
    <t>CON OBRA</t>
  </si>
  <si>
    <t>Costo de Conexión x usuario</t>
  </si>
  <si>
    <t>Consumo estimado</t>
  </si>
  <si>
    <t>Costo de servicio (TASAS Y CARGOS)</t>
  </si>
  <si>
    <t xml:space="preserve">INVERSIÓN </t>
  </si>
  <si>
    <t>BENEFICIOS</t>
  </si>
  <si>
    <t>COSTOS</t>
  </si>
  <si>
    <t>Costos de conexión de los vecinos (Instalanciones Internas + Tasas y Cargos)</t>
  </si>
  <si>
    <t>Analisis Costo Beneficio pensado desde el punto de vista de los usuarios beneficiados con los proyectos de inversion</t>
  </si>
  <si>
    <t>Costos de artefactos gasodomesticos (genera un multiplicador de trabajo y consumo en la localidad beneficiada)</t>
  </si>
  <si>
    <t>Revalorización de los inmuebles (precios hedonicos)</t>
  </si>
  <si>
    <t>METODOLOGIA</t>
  </si>
  <si>
    <t>TASAS Y CARGOS</t>
  </si>
  <si>
    <t>12 - zanjeo y tapada BP/MP</t>
  </si>
  <si>
    <t>9 - Rotura y Reparación de veredas BP/MP</t>
  </si>
  <si>
    <t>16  - servic completo sin zanjeo y tapada</t>
  </si>
  <si>
    <t>18 - colocación medidor &lt;10 m3/h</t>
  </si>
  <si>
    <t>INSTALACIONES INTERNAS</t>
  </si>
  <si>
    <t>Cantidad</t>
  </si>
  <si>
    <t>precio x unidad</t>
  </si>
  <si>
    <t>total</t>
  </si>
  <si>
    <t>MATERIALES</t>
  </si>
  <si>
    <t>Cañeria Interna (enterrada, embutida, aerea)</t>
  </si>
  <si>
    <t>m</t>
  </si>
  <si>
    <t>Gabinete simple de gas</t>
  </si>
  <si>
    <t>U</t>
  </si>
  <si>
    <t>Boca Artefacto Nuevo</t>
  </si>
  <si>
    <t>MANO DE OBRA</t>
  </si>
  <si>
    <t>Gasista matriculado</t>
  </si>
  <si>
    <t>COCINA A GAS</t>
  </si>
  <si>
    <t>CALEFON A GAS 14 L</t>
  </si>
  <si>
    <t>Piquito de ampliador de diametro</t>
  </si>
  <si>
    <t>Instalaciones Internas + artefactos</t>
  </si>
  <si>
    <t>CONEXIÓN ARTEFACTOS</t>
  </si>
  <si>
    <t>Precio garrafa de res 56/17</t>
  </si>
  <si>
    <t>1 kg GLP = 1,279 m3</t>
  </si>
  <si>
    <t>Precio de Garrafa: 10 kg sin impuestos</t>
  </si>
  <si>
    <t>R 22</t>
  </si>
  <si>
    <t>r22</t>
  </si>
  <si>
    <t>LITORAL - SANTA FE</t>
  </si>
  <si>
    <t>Gas (PIST)</t>
  </si>
  <si>
    <t>DDA's</t>
  </si>
  <si>
    <t>Transporte</t>
  </si>
  <si>
    <t>Gas retenido</t>
  </si>
  <si>
    <t>Margen de distribución</t>
  </si>
  <si>
    <t>Tarifa</t>
  </si>
  <si>
    <t>Cargos Fijos</t>
  </si>
  <si>
    <t>Residencial</t>
  </si>
  <si>
    <t>R 1</t>
  </si>
  <si>
    <t>R 21</t>
  </si>
  <si>
    <t>R 23</t>
  </si>
  <si>
    <t>R 31</t>
  </si>
  <si>
    <t>R 32</t>
  </si>
  <si>
    <t>R 33</t>
  </si>
  <si>
    <t>R 34</t>
  </si>
  <si>
    <t>Fact Min</t>
  </si>
  <si>
    <t>SG_P1 y P2</t>
  </si>
  <si>
    <t>C m3 Cons</t>
  </si>
  <si>
    <t>0-1000</t>
  </si>
  <si>
    <t>1001-9000</t>
  </si>
  <si>
    <t>SG_P3</t>
  </si>
  <si>
    <t>SG_P3   UNBUND.</t>
  </si>
  <si>
    <t>Cargo Fijo</t>
  </si>
  <si>
    <t>SG_G</t>
  </si>
  <si>
    <t>0-5000</t>
  </si>
  <si>
    <t>C Res Cap</t>
  </si>
  <si>
    <t>ID</t>
  </si>
  <si>
    <t>FD</t>
  </si>
  <si>
    <t>IT</t>
  </si>
  <si>
    <t>FT</t>
  </si>
  <si>
    <t>GNC Interrumpible</t>
  </si>
  <si>
    <t>GNC Firme</t>
  </si>
  <si>
    <t>SDB</t>
  </si>
  <si>
    <t>Consumo Promedio</t>
  </si>
  <si>
    <t>p1</t>
  </si>
  <si>
    <t>p2</t>
  </si>
  <si>
    <t>p3</t>
  </si>
  <si>
    <t>con subsidio</t>
  </si>
  <si>
    <t>Según ANSES de 4 millones de hogares potenciales, 2,5 millones perciben subsidio. El 62%</t>
  </si>
  <si>
    <t>Beneficiarios programa HOGAR pagan $20 las garrafas (se subsidia $102,17) hasta 18 garrafas al año</t>
  </si>
  <si>
    <t>TARIFA PLENA ANEXO 1 RESO 4363/17</t>
  </si>
  <si>
    <t>Ahorro Estado Nacional HOGAR</t>
  </si>
  <si>
    <t>(Se podria tomar distinta curva de incoproracion en las obras de media presion)</t>
  </si>
  <si>
    <t>TOTAL</t>
  </si>
  <si>
    <t>m3/dia</t>
  </si>
  <si>
    <t>m2 construído</t>
  </si>
  <si>
    <t>m2 sin construir</t>
  </si>
  <si>
    <t>USD/m2</t>
  </si>
  <si>
    <t>Monto m2</t>
  </si>
  <si>
    <t>Terreno en m2</t>
  </si>
  <si>
    <t>m2 promedio</t>
  </si>
  <si>
    <t>m2 revaloriz</t>
  </si>
  <si>
    <t>INPUTS</t>
  </si>
  <si>
    <t>Inversión inicial Distribuidora</t>
  </si>
  <si>
    <t>OFERTA</t>
  </si>
  <si>
    <t>PRECIO</t>
  </si>
  <si>
    <t>PARTICIPACION</t>
  </si>
  <si>
    <t>DEMANDA</t>
  </si>
  <si>
    <t>GNC</t>
  </si>
  <si>
    <t>INDUSTRIA</t>
  </si>
  <si>
    <t>USINA</t>
  </si>
  <si>
    <t>GN BOLIVIA</t>
  </si>
  <si>
    <t>GNL</t>
  </si>
  <si>
    <t>GNL CHILE</t>
  </si>
  <si>
    <t>COMBUSTIBLES LIQUIDOS</t>
  </si>
  <si>
    <t>TOTAL TERMICO</t>
  </si>
  <si>
    <t>PRODUCCIÓN LOCAL BASE</t>
  </si>
  <si>
    <t>RESIDENCIAL</t>
  </si>
  <si>
    <t>TARIFA SOCIAL</t>
  </si>
  <si>
    <t>COMERCIAL</t>
  </si>
  <si>
    <t xml:space="preserve">PRECIO </t>
  </si>
  <si>
    <t xml:space="preserve"> (en USD/MMBTU)</t>
  </si>
  <si>
    <t>(en MMm3/d)</t>
  </si>
  <si>
    <t>(en %)</t>
  </si>
  <si>
    <t>COSTO FISCAL DEL ESTADO</t>
  </si>
  <si>
    <t>Elaborado en función del Informe Técnico MINEM "Precio de Gas Natural en el PIST" - Octubre 2017</t>
  </si>
  <si>
    <t>1 MMBTU = 27,09631 / TC = 15,52 $/USD</t>
  </si>
  <si>
    <t>Longitud de red (en mts)</t>
  </si>
  <si>
    <t>Consumo promedio (en m3)</t>
  </si>
  <si>
    <t>Costo Fiscal Estado Nacional Gas Natural</t>
  </si>
  <si>
    <t>Beneficio Fiscal Estado Nacional GLP</t>
  </si>
  <si>
    <t>COSTO CON SUBSIDIO HOGAR</t>
  </si>
  <si>
    <t>Beneficios Directos por sustitución energética</t>
  </si>
  <si>
    <t>Costo fiscal del Estado Nacional en Gas natural</t>
  </si>
  <si>
    <t>SIN SUBSIDIO
 (en $/M3)</t>
  </si>
  <si>
    <t>SEGÚN RTI 
(en $/M3)</t>
  </si>
  <si>
    <t>DIFERENCIA x m3
(en $/M3)</t>
  </si>
  <si>
    <t>Consumo de garrafas al año</t>
  </si>
  <si>
    <t>Restriccion subsidio</t>
  </si>
  <si>
    <t>PRECIO DEL GAS PARA R22</t>
  </si>
  <si>
    <t>Ahorro del Estado Nacional por sustitución de subsidios al GLP</t>
  </si>
  <si>
    <t>Gasto anual en garrafas</t>
  </si>
  <si>
    <t>sin subsidio</t>
  </si>
  <si>
    <t>1)  -  2) GLP - GN   (Año):</t>
  </si>
  <si>
    <t>COSTO SIN SUBSIDIO</t>
  </si>
  <si>
    <t xml:space="preserve">INVERSIÓN FINANCIERA </t>
  </si>
  <si>
    <t>BENEFICIO SOCIAL</t>
  </si>
  <si>
    <t>DETALLE DE OBRA</t>
  </si>
  <si>
    <t>USUARIOS</t>
  </si>
  <si>
    <t>RELACIÓN BENEFICIO SOCIAL/ IVNERSION</t>
  </si>
  <si>
    <t>LITORAL-SANTA FE</t>
  </si>
  <si>
    <t>CATEGORÍA DE USUARIO</t>
  </si>
  <si>
    <t>PIST ($/m3)</t>
  </si>
  <si>
    <t>Costo Transporte ($/m3)</t>
  </si>
  <si>
    <t>Gas Retenido ($/m3)</t>
  </si>
  <si>
    <t>Margen de distribución ($/m3)</t>
  </si>
  <si>
    <t>DDA
($/m3)</t>
  </si>
  <si>
    <t>Cargo Fijo bimestral ($)</t>
  </si>
  <si>
    <t>Cargo Variable ($/m3)</t>
  </si>
  <si>
    <t>R1</t>
  </si>
  <si>
    <t>R2 1°</t>
  </si>
  <si>
    <t>R2 2°</t>
  </si>
  <si>
    <t>R2 3°</t>
  </si>
  <si>
    <t>R3 1°</t>
  </si>
  <si>
    <t>R3 2°</t>
  </si>
  <si>
    <t>R3 3°</t>
  </si>
  <si>
    <t>R3 4°</t>
  </si>
  <si>
    <t>P1</t>
  </si>
  <si>
    <t>P2</t>
  </si>
  <si>
    <t>P3</t>
  </si>
  <si>
    <t>INDUSTRIAS unbundlig G</t>
  </si>
  <si>
    <t>GNC FIRME</t>
  </si>
  <si>
    <t>TARIFA OCT 18</t>
  </si>
  <si>
    <t>ANIO</t>
  </si>
  <si>
    <t>MES</t>
  </si>
  <si>
    <t>DISTRIBUIDORAS</t>
  </si>
  <si>
    <t>INDUSTRIAS</t>
  </si>
  <si>
    <t>OTROS</t>
  </si>
  <si>
    <t>PRECIO PROMEDIO PONDERADO</t>
  </si>
  <si>
    <t>PROMEDIO AÑO 2018</t>
  </si>
  <si>
    <t>resolución 1/2018</t>
  </si>
  <si>
    <t>VOLUMEN 2017</t>
  </si>
  <si>
    <t>reso 287/17</t>
  </si>
  <si>
    <t>Ahorro por sustitución de consumos energeticos (gas con tarifas plenas OCT 2018)</t>
  </si>
  <si>
    <t>La inversión es implementada por la Distribuidora, es el costo de oportunidad de la sociedad de no erogar la inversión. Para su consideración se tomó el valor de negocio que genera el proyecto menos la Inversión inicial que debiera realizar la distribuidora. De esta manera se obtiene el costo de oportunidad de la sociedad de financiar la ejecución de los proyectos de inversion para los usuarios beneficiarios. ROLL IN</t>
  </si>
  <si>
    <t>Media Presión</t>
  </si>
  <si>
    <t>Alta Presión</t>
  </si>
  <si>
    <t>Extensión de Baja Presión</t>
  </si>
  <si>
    <t>Beneficios Indirectos por revalorización de inmuebles</t>
  </si>
  <si>
    <t>A</t>
  </si>
  <si>
    <t>B</t>
  </si>
  <si>
    <t>C</t>
  </si>
  <si>
    <t>D</t>
  </si>
  <si>
    <t>E</t>
  </si>
  <si>
    <t>C - Construcción de una ERP 10/1,5 bar con su ramal de alimentación de 150 metros en cañería de acero de diámetro 4" e interconexiones de red en media presión estimadas en 400 metros de cañería. Permitirá la incorporación de aproximadamente 2.000 clientes residenciales</t>
  </si>
  <si>
    <t>E - Ejecución de redes en media presión en una longitud estimada de 2.290 metros. La habilitación de la obra permitirá la incorporación de aproximadamente 1.000 clientes residenciales.</t>
  </si>
  <si>
    <t>A - Construcción de aproximadamente 123.000 metros de red de distribución en baja presión. La obra beneficiará a aproximadamente 6.715 clientes residenciales</t>
  </si>
  <si>
    <t>B - Construcción de aproximadamente 157.000 metros de red de distribución en baja presión. La obra permitirá dar suministro a aproximadamente 8.062 clientes residenciales.</t>
  </si>
  <si>
    <t>D - Construcción de 50 metros de gasoducto en 25 bar, en cañería de acero de 2" y una ERP de 25/1,5 Bar. La obra en Alta Presión tiene potencial para la conexión de 116 clientes residenciales, 9 clientes del SGP y caudal para clientes industriales. Requiere la construcción de la red de distribución.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</si>
</sst>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quot;$&quot;\ #,##0;[Red]\-&quot;$&quot;\ #,##0"/>
    <numFmt numFmtId="165" formatCode="_-&quot;$&quot;\ * #,##0.00_-;\-&quot;$&quot;\ * #,##0.00_-;_-&quot;$&quot;\ * &quot;-&quot;??_-;_-@_-"/>
    <numFmt numFmtId="166" formatCode="_-* #,##0.00_-;\-* #,##0.00_-;_-* &quot;-&quot;??_-;_-@_-"/>
    <numFmt numFmtId="167" formatCode="_ &quot;$&quot;\ * #,##0.00_ ;_ &quot;$&quot;\ * \-#,##0.00_ ;_ &quot;$&quot;\ * &quot;-&quot;??_ ;_ @_ "/>
    <numFmt numFmtId="168" formatCode="_ * #,##0.00_ ;_ * \-#,##0.00_ ;_ * &quot;-&quot;??_ ;_ @_ "/>
    <numFmt numFmtId="169" formatCode="_ * #,##0_ ;_ * \-#,##0_ ;_ * &quot;-&quot;??_ ;_ @_ "/>
    <numFmt numFmtId="170" formatCode="0.000"/>
    <numFmt numFmtId="171" formatCode="_ &quot;$&quot;\ * #,##0.0000_ ;_ &quot;$&quot;\ * \-#,##0.0000_ ;_ &quot;$&quot;\ * &quot;-&quot;??_ ;_ @_ "/>
    <numFmt numFmtId="172" formatCode="_ &quot;$&quot;\ * #,##0.00000_ ;_ &quot;$&quot;\ * \-#,##0.00000_ ;_ &quot;$&quot;\ * &quot;-&quot;??_ ;_ @_ "/>
    <numFmt numFmtId="173" formatCode="_ &quot;$&quot;\ * #,##0_ ;_ &quot;$&quot;\ * \-#,##0_ ;_ &quot;$&quot;\ * &quot;-&quot;??_ ;_ @_ "/>
    <numFmt numFmtId="174" formatCode="0.0%"/>
    <numFmt numFmtId="175" formatCode="&quot;$&quot;\ #,##0"/>
    <numFmt numFmtId="176" formatCode="_-* #,##0_-;\-* #,##0_-;_-* &quot;-&quot;??_-;_-@_-"/>
    <numFmt numFmtId="177" formatCode="_-* #,##0.000000\ _$_-;\-* #,##0.000000\ _$_-;_-* &quot;-&quot;??\ _$_-;_-@_-"/>
    <numFmt numFmtId="178" formatCode="_-* #,##0.00000\ _$_-;\-* #,##0.00000\ _$_-;_-* &quot;-&quot;??\ _$_-;_-@_-"/>
    <numFmt numFmtId="179" formatCode="#,##0.0"/>
    <numFmt numFmtId="180" formatCode="_ &quot;$&quot;\ * #,##0.0_ ;_ &quot;$&quot;\ * \-#,##0.0_ ;_ &quot;$&quot;\ * &quot;-&quot;??_ ;_ @_ "/>
    <numFmt numFmtId="181" formatCode="_-&quot;$&quot;\ * #,##0_-;\-&quot;$&quot;\ * #,##0_-;_-&quot;$&quot;\ * &quot;-&quot;??_-;_-@_-"/>
    <numFmt numFmtId="182" formatCode="0.0"/>
    <numFmt numFmtId="183" formatCode="&quot;$&quot;\ #,##0.0;[Red]\-&quot;$&quot;\ #,##0.0"/>
    <numFmt numFmtId="184" formatCode="_-&quot;$&quot;\ * #,##0.0_-;\-&quot;$&quot;\ * #,##0.0_-;_-&quot;$&quot;\ * &quot;-&quot;?_-;_-@_-"/>
  </numFmts>
  <fonts count="29" x14ac:knownFonts="1">
    <font>
      <sz val="11"/>
      <color theme="1"/>
      <name val="Calibri"/>
      <family val="2"/>
      <scheme val="minor"/>
    </font>
    <font>
      <b/>
      <sz val="11"/>
      <color theme="1"/>
      <name val="Calibri"/>
      <family val="2"/>
      <scheme val="minor"/>
    </font>
    <font>
      <sz val="10"/>
      <name val="Arial"/>
      <family val="2"/>
    </font>
    <font>
      <sz val="11"/>
      <color theme="1"/>
      <name val="Calibri"/>
      <family val="2"/>
      <scheme val="minor"/>
    </font>
    <font>
      <sz val="11"/>
      <color theme="0"/>
      <name val="Calibri"/>
      <family val="2"/>
      <scheme val="minor"/>
    </font>
    <font>
      <sz val="11"/>
      <color rgb="FFFF0000"/>
      <name val="Calibri"/>
      <family val="2"/>
      <scheme val="minor"/>
    </font>
    <font>
      <b/>
      <u/>
      <sz val="12"/>
      <color theme="1"/>
      <name val="Arial"/>
      <family val="2"/>
    </font>
    <font>
      <sz val="11"/>
      <color theme="1"/>
      <name val="Arial"/>
      <family val="2"/>
    </font>
    <font>
      <b/>
      <sz val="9"/>
      <color theme="1"/>
      <name val="Arial"/>
      <family val="2"/>
    </font>
    <font>
      <b/>
      <sz val="11"/>
      <color theme="1"/>
      <name val="Arial"/>
      <family val="2"/>
    </font>
    <font>
      <b/>
      <sz val="8"/>
      <color theme="1"/>
      <name val="Arial"/>
      <family val="2"/>
    </font>
    <font>
      <b/>
      <sz val="9"/>
      <name val="Arial"/>
      <family val="2"/>
    </font>
    <font>
      <b/>
      <sz val="11"/>
      <name val="Arial"/>
      <family val="2"/>
    </font>
    <font>
      <b/>
      <sz val="10"/>
      <color theme="1"/>
      <name val="Arial"/>
      <family val="2"/>
    </font>
    <font>
      <b/>
      <sz val="11"/>
      <color rgb="FF0000FF"/>
      <name val="Arial"/>
      <family val="2"/>
    </font>
    <font>
      <b/>
      <sz val="12"/>
      <color rgb="FF0000FF"/>
      <name val="Arial"/>
      <family val="2"/>
    </font>
    <font>
      <b/>
      <sz val="11"/>
      <color theme="0"/>
      <name val="Calibri"/>
      <family val="2"/>
      <scheme val="minor"/>
    </font>
    <font>
      <b/>
      <u/>
      <sz val="11"/>
      <color theme="1"/>
      <name val="Calibri"/>
      <family val="2"/>
      <scheme val="minor"/>
    </font>
    <font>
      <sz val="11"/>
      <name val="Calibri"/>
      <family val="2"/>
      <scheme val="minor"/>
    </font>
    <font>
      <b/>
      <sz val="10"/>
      <name val="Arial"/>
      <family val="2"/>
    </font>
    <font>
      <b/>
      <u/>
      <sz val="10"/>
      <name val="Arial"/>
      <family val="2"/>
    </font>
    <font>
      <sz val="11"/>
      <name val="Arial"/>
      <family val="2"/>
    </font>
    <font>
      <i/>
      <sz val="11"/>
      <color theme="1"/>
      <name val="Calibri"/>
      <family val="2"/>
      <scheme val="minor"/>
    </font>
    <font>
      <b/>
      <sz val="11"/>
      <color rgb="FFFF0000"/>
      <name val="Arial"/>
      <family val="2"/>
    </font>
    <font>
      <b/>
      <sz val="11"/>
      <name val="Calibri"/>
      <family val="2"/>
      <scheme val="minor"/>
    </font>
    <font>
      <b/>
      <sz val="9"/>
      <color rgb="FFFF0000"/>
      <name val="Arial"/>
      <family val="2"/>
    </font>
    <font>
      <b/>
      <sz val="11"/>
      <color rgb="FFFF0000"/>
      <name val="Calibri"/>
      <family val="2"/>
      <scheme val="minor"/>
    </font>
    <font>
      <b/>
      <sz val="12"/>
      <color rgb="FF111111"/>
      <name val="Arial"/>
      <family val="2"/>
    </font>
    <font>
      <sz val="12"/>
      <color rgb="FF111111"/>
      <name val="Arial"/>
      <family val="2"/>
    </font>
  </fonts>
  <fills count="15">
    <fill>
      <patternFill patternType="none"/>
    </fill>
    <fill>
      <patternFill patternType="gray125"/>
    </fill>
    <fill>
      <patternFill patternType="solid">
        <fgColor rgb="FF00B050"/>
        <bgColor indexed="64"/>
      </patternFill>
    </fill>
    <fill>
      <patternFill patternType="solid">
        <fgColor rgb="FFFFFFCC"/>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patternFill>
    </fill>
    <fill>
      <patternFill patternType="solid">
        <fgColor rgb="FFF9F9F9"/>
        <bgColor indexed="64"/>
      </patternFill>
    </fill>
    <fill>
      <patternFill patternType="solid">
        <fgColor rgb="FFEAEAEA"/>
        <bgColor indexed="64"/>
      </patternFill>
    </fill>
    <fill>
      <patternFill patternType="solid">
        <fgColor rgb="FFF6F6F6"/>
        <bgColor indexed="64"/>
      </patternFill>
    </fill>
    <fill>
      <patternFill patternType="solid">
        <fgColor rgb="FFFFFFFF"/>
        <bgColor indexed="64"/>
      </patternFill>
    </fill>
    <fill>
      <patternFill patternType="solid">
        <fgColor rgb="FFFAFAFA"/>
        <bgColor indexed="64"/>
      </patternFill>
    </fill>
    <fill>
      <patternFill patternType="solid">
        <fgColor rgb="FFF1F1F1"/>
        <bgColor indexed="64"/>
      </patternFill>
    </fill>
    <fill>
      <patternFill patternType="solid">
        <fgColor rgb="FF0B8B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thin">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diagonal/>
    </border>
    <border>
      <left/>
      <right style="double">
        <color indexed="64"/>
      </right>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rgb="FFDDDDDD"/>
      </top>
      <bottom/>
      <diagonal/>
    </border>
    <border>
      <left/>
      <right/>
      <top style="medium">
        <color rgb="FFDDDDDD"/>
      </top>
      <bottom/>
      <diagonal/>
    </border>
    <border>
      <left/>
      <right style="medium">
        <color indexed="64"/>
      </right>
      <top style="medium">
        <color rgb="FFDDDDDD"/>
      </top>
      <bottom/>
      <diagonal/>
    </border>
    <border>
      <left style="medium">
        <color indexed="64"/>
      </left>
      <right/>
      <top style="medium">
        <color rgb="FFDDDDDD"/>
      </top>
      <bottom style="medium">
        <color indexed="64"/>
      </bottom>
      <diagonal/>
    </border>
    <border>
      <left/>
      <right/>
      <top style="medium">
        <color rgb="FFDDDDDD"/>
      </top>
      <bottom style="medium">
        <color indexed="64"/>
      </bottom>
      <diagonal/>
    </border>
    <border>
      <left/>
      <right style="medium">
        <color indexed="64"/>
      </right>
      <top style="medium">
        <color rgb="FFDDDDDD"/>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s>
  <cellStyleXfs count="6">
    <xf numFmtId="0" fontId="0" fillId="0" borderId="0"/>
    <xf numFmtId="0" fontId="2" fillId="0" borderId="0"/>
    <xf numFmtId="168"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4" fillId="7" borderId="0" applyNumberFormat="0" applyBorder="0" applyAlignment="0" applyProtection="0"/>
  </cellStyleXfs>
  <cellXfs count="224">
    <xf numFmtId="0" fontId="0" fillId="0" borderId="0" xfId="0"/>
    <xf numFmtId="0" fontId="0" fillId="0" borderId="0" xfId="0" applyFont="1" applyFill="1" applyBorder="1" applyAlignment="1">
      <alignment horizontal="left"/>
    </xf>
    <xf numFmtId="9" fontId="0" fillId="0" borderId="0" xfId="0" applyNumberFormat="1"/>
    <xf numFmtId="167" fontId="0" fillId="0" borderId="0" xfId="3" applyFont="1"/>
    <xf numFmtId="0" fontId="0" fillId="0" borderId="2" xfId="0" applyBorder="1"/>
    <xf numFmtId="0" fontId="0" fillId="0" borderId="4" xfId="0" applyBorder="1"/>
    <xf numFmtId="0" fontId="0" fillId="0" borderId="6" xfId="0" applyBorder="1"/>
    <xf numFmtId="0" fontId="0" fillId="0" borderId="3" xfId="0" applyBorder="1" applyAlignment="1">
      <alignment horizontal="center" vertical="center"/>
    </xf>
    <xf numFmtId="169" fontId="0" fillId="0" borderId="5" xfId="2" applyNumberFormat="1" applyFont="1" applyBorder="1" applyAlignment="1">
      <alignment horizontal="center" vertical="center"/>
    </xf>
    <xf numFmtId="167" fontId="0" fillId="0" borderId="7" xfId="0" applyNumberFormat="1" applyBorder="1" applyAlignment="1">
      <alignment horizontal="center" vertical="center"/>
    </xf>
    <xf numFmtId="170" fontId="0" fillId="0" borderId="0" xfId="0" applyNumberFormat="1"/>
    <xf numFmtId="0" fontId="0" fillId="0" borderId="8" xfId="0" applyBorder="1"/>
    <xf numFmtId="0" fontId="0" fillId="0" borderId="0" xfId="0" applyBorder="1"/>
    <xf numFmtId="0" fontId="0" fillId="0" borderId="9" xfId="0" applyBorder="1"/>
    <xf numFmtId="167" fontId="0" fillId="0" borderId="0" xfId="0" applyNumberFormat="1"/>
    <xf numFmtId="0" fontId="6" fillId="0" borderId="0" xfId="0" applyFont="1"/>
    <xf numFmtId="0" fontId="5" fillId="0" borderId="0" xfId="0" applyFont="1"/>
    <xf numFmtId="0" fontId="7" fillId="0" borderId="0" xfId="0" applyFont="1"/>
    <xf numFmtId="0" fontId="8" fillId="0" borderId="0" xfId="0" applyFont="1" applyAlignment="1">
      <alignment horizontal="right"/>
    </xf>
    <xf numFmtId="167" fontId="1" fillId="0" borderId="0" xfId="3" applyFont="1"/>
    <xf numFmtId="0" fontId="10" fillId="0" borderId="0" xfId="0" applyFont="1"/>
    <xf numFmtId="171" fontId="1" fillId="0" borderId="0" xfId="3" applyNumberFormat="1" applyFont="1"/>
    <xf numFmtId="172" fontId="1" fillId="0" borderId="0" xfId="3" applyNumberFormat="1" applyFont="1"/>
    <xf numFmtId="0" fontId="11" fillId="0" borderId="0" xfId="0" applyFont="1" applyFill="1" applyAlignment="1">
      <alignment horizontal="right"/>
    </xf>
    <xf numFmtId="1" fontId="12" fillId="0" borderId="0" xfId="0" applyNumberFormat="1" applyFont="1" applyFill="1" applyAlignment="1">
      <alignment horizontal="center"/>
    </xf>
    <xf numFmtId="0" fontId="13" fillId="0" borderId="0" xfId="0" applyFont="1"/>
    <xf numFmtId="173" fontId="9" fillId="0" borderId="0" xfId="3" applyNumberFormat="1" applyFont="1"/>
    <xf numFmtId="0" fontId="8" fillId="0" borderId="0" xfId="0" applyFont="1" applyAlignment="1">
      <alignment horizontal="right" wrapText="1"/>
    </xf>
    <xf numFmtId="0" fontId="14" fillId="3" borderId="0" xfId="0" applyFont="1" applyFill="1" applyAlignment="1">
      <alignment horizontal="center"/>
    </xf>
    <xf numFmtId="173" fontId="15" fillId="3" borderId="0" xfId="3" applyNumberFormat="1" applyFont="1" applyFill="1"/>
    <xf numFmtId="0" fontId="0" fillId="0" borderId="0" xfId="0" applyFill="1"/>
    <xf numFmtId="167" fontId="0" fillId="0" borderId="0" xfId="3" applyFont="1" applyFill="1"/>
    <xf numFmtId="174" fontId="4" fillId="2" borderId="1" xfId="0" applyNumberFormat="1" applyFont="1" applyFill="1" applyBorder="1"/>
    <xf numFmtId="168" fontId="4" fillId="2" borderId="1" xfId="2" applyFont="1" applyFill="1" applyBorder="1"/>
    <xf numFmtId="167" fontId="4" fillId="2" borderId="1" xfId="3" applyFont="1" applyFill="1" applyBorder="1"/>
    <xf numFmtId="168" fontId="16" fillId="2" borderId="1" xfId="2" applyFont="1" applyFill="1" applyBorder="1" applyAlignment="1">
      <alignment horizontal="center"/>
    </xf>
    <xf numFmtId="0" fontId="0" fillId="0" borderId="1" xfId="0" applyBorder="1" applyAlignment="1">
      <alignment horizontal="center" vertical="center" wrapText="1"/>
    </xf>
    <xf numFmtId="0" fontId="0" fillId="0" borderId="0" xfId="0" applyFill="1" applyBorder="1" applyAlignment="1">
      <alignment horizontal="center"/>
    </xf>
    <xf numFmtId="175" fontId="0" fillId="0" borderId="0" xfId="0" applyNumberFormat="1"/>
    <xf numFmtId="168" fontId="0" fillId="0" borderId="0" xfId="2" applyFont="1"/>
    <xf numFmtId="173" fontId="0" fillId="0" borderId="0" xfId="3" applyNumberFormat="1" applyFont="1"/>
    <xf numFmtId="173" fontId="0" fillId="0" borderId="0" xfId="0" applyNumberFormat="1"/>
    <xf numFmtId="167" fontId="0" fillId="0" borderId="7" xfId="3" applyFont="1" applyBorder="1" applyAlignment="1">
      <alignment horizontal="center"/>
    </xf>
    <xf numFmtId="10" fontId="0" fillId="0" borderId="3" xfId="0" applyNumberFormat="1" applyBorder="1" applyAlignment="1">
      <alignment horizontal="center"/>
    </xf>
    <xf numFmtId="173" fontId="4" fillId="2" borderId="1" xfId="3" applyNumberFormat="1" applyFont="1" applyFill="1" applyBorder="1"/>
    <xf numFmtId="173" fontId="4" fillId="2" borderId="1" xfId="2" applyNumberFormat="1" applyFont="1" applyFill="1" applyBorder="1"/>
    <xf numFmtId="167" fontId="4" fillId="2" borderId="1" xfId="3" applyNumberFormat="1" applyFont="1" applyFill="1" applyBorder="1"/>
    <xf numFmtId="0" fontId="0" fillId="0" borderId="0" xfId="0" applyAlignment="1">
      <alignment horizontal="left" indent="1"/>
    </xf>
    <xf numFmtId="0" fontId="17" fillId="0" borderId="0" xfId="0" applyFont="1"/>
    <xf numFmtId="0" fontId="17" fillId="0" borderId="0" xfId="0" applyFont="1" applyAlignment="1">
      <alignment horizontal="left"/>
    </xf>
    <xf numFmtId="0" fontId="0" fillId="0" borderId="1" xfId="0" applyBorder="1"/>
    <xf numFmtId="0" fontId="19" fillId="0" borderId="0" xfId="0" applyFont="1"/>
    <xf numFmtId="14" fontId="19" fillId="0" borderId="0" xfId="0" applyNumberFormat="1" applyFont="1"/>
    <xf numFmtId="0" fontId="0" fillId="0" borderId="13" xfId="0" applyFill="1" applyBorder="1"/>
    <xf numFmtId="0" fontId="0" fillId="0" borderId="14" xfId="0" applyFill="1" applyBorder="1" applyAlignment="1">
      <alignment horizontal="centerContinuous" vertical="center" wrapText="1"/>
    </xf>
    <xf numFmtId="0" fontId="0" fillId="0" borderId="14" xfId="0" applyFill="1" applyBorder="1" applyAlignment="1">
      <alignment horizontal="centerContinuous" vertical="justify" wrapText="1"/>
    </xf>
    <xf numFmtId="0" fontId="0" fillId="0" borderId="15" xfId="0" applyFill="1" applyBorder="1" applyAlignment="1">
      <alignment horizontal="centerContinuous" vertical="justify" wrapText="1"/>
    </xf>
    <xf numFmtId="0" fontId="0" fillId="0" borderId="16" xfId="0" applyFont="1" applyFill="1" applyBorder="1" applyAlignment="1">
      <alignment horizontal="centerContinuous" vertical="justify" wrapText="1"/>
    </xf>
    <xf numFmtId="0" fontId="20" fillId="0" borderId="17" xfId="0" applyFont="1" applyFill="1" applyBorder="1"/>
    <xf numFmtId="177" fontId="2" fillId="0" borderId="11" xfId="2" applyNumberFormat="1" applyFont="1" applyFill="1" applyBorder="1"/>
    <xf numFmtId="177" fontId="2" fillId="0" borderId="18" xfId="2" applyNumberFormat="1" applyFont="1" applyFill="1" applyBorder="1"/>
    <xf numFmtId="177" fontId="2" fillId="0" borderId="19" xfId="2" applyNumberFormat="1" applyFont="1" applyFill="1" applyBorder="1"/>
    <xf numFmtId="0" fontId="0" fillId="0" borderId="17" xfId="0" applyFill="1" applyBorder="1"/>
    <xf numFmtId="0" fontId="19" fillId="0" borderId="12" xfId="0" applyFont="1" applyFill="1" applyBorder="1" applyAlignment="1">
      <alignment horizontal="right"/>
    </xf>
    <xf numFmtId="177" fontId="19" fillId="0" borderId="11" xfId="2" applyNumberFormat="1" applyFont="1" applyFill="1" applyBorder="1"/>
    <xf numFmtId="177" fontId="2" fillId="0" borderId="20" xfId="2" applyNumberFormat="1" applyFont="1" applyFill="1" applyBorder="1"/>
    <xf numFmtId="0" fontId="0" fillId="0" borderId="12" xfId="0" applyFill="1" applyBorder="1"/>
    <xf numFmtId="0" fontId="0" fillId="0" borderId="17" xfId="0" applyFill="1" applyBorder="1" applyAlignment="1">
      <alignment horizontal="right"/>
    </xf>
    <xf numFmtId="0" fontId="2" fillId="0" borderId="17" xfId="0" applyFont="1" applyFill="1" applyBorder="1"/>
    <xf numFmtId="0" fontId="2" fillId="0" borderId="17" xfId="0" applyFont="1" applyFill="1" applyBorder="1" applyAlignment="1">
      <alignment horizontal="right"/>
    </xf>
    <xf numFmtId="177" fontId="2" fillId="0" borderId="21" xfId="2" applyNumberFormat="1" applyFont="1" applyFill="1" applyBorder="1"/>
    <xf numFmtId="177" fontId="12" fillId="0" borderId="22" xfId="2" applyNumberFormat="1" applyFont="1" applyFill="1" applyBorder="1" applyAlignment="1"/>
    <xf numFmtId="177" fontId="12" fillId="0" borderId="10" xfId="2" applyNumberFormat="1" applyFont="1" applyFill="1" applyBorder="1" applyAlignment="1"/>
    <xf numFmtId="177" fontId="12" fillId="0" borderId="23" xfId="2" applyNumberFormat="1" applyFont="1" applyFill="1" applyBorder="1" applyAlignment="1"/>
    <xf numFmtId="178" fontId="2" fillId="0" borderId="11" xfId="2" applyNumberFormat="1" applyFont="1" applyFill="1" applyBorder="1"/>
    <xf numFmtId="178" fontId="2" fillId="0" borderId="19" xfId="2" applyNumberFormat="1" applyFont="1" applyFill="1" applyBorder="1"/>
    <xf numFmtId="177" fontId="19" fillId="0" borderId="0" xfId="2" applyNumberFormat="1" applyFont="1" applyFill="1" applyBorder="1" applyAlignment="1">
      <alignment horizontal="center"/>
    </xf>
    <xf numFmtId="0" fontId="0" fillId="0" borderId="24" xfId="0" applyFill="1" applyBorder="1"/>
    <xf numFmtId="177" fontId="2" fillId="0" borderId="25" xfId="2" applyNumberFormat="1" applyFont="1" applyFill="1" applyBorder="1"/>
    <xf numFmtId="177" fontId="2" fillId="0" borderId="26" xfId="2" applyNumberFormat="1" applyFont="1" applyFill="1" applyBorder="1"/>
    <xf numFmtId="177" fontId="19" fillId="0" borderId="26" xfId="2" applyNumberFormat="1" applyFont="1" applyFill="1" applyBorder="1"/>
    <xf numFmtId="177" fontId="19" fillId="0" borderId="27" xfId="2" applyNumberFormat="1" applyFont="1" applyFill="1" applyBorder="1"/>
    <xf numFmtId="0" fontId="0" fillId="5" borderId="1" xfId="0" applyFill="1" applyBorder="1" applyAlignment="1">
      <alignment horizontal="center" vertical="center" wrapText="1"/>
    </xf>
    <xf numFmtId="179" fontId="0" fillId="0" borderId="1" xfId="0" applyNumberFormat="1" applyBorder="1"/>
    <xf numFmtId="179" fontId="0" fillId="4" borderId="1" xfId="0" applyNumberFormat="1" applyFill="1" applyBorder="1"/>
    <xf numFmtId="179" fontId="0" fillId="0" borderId="1" xfId="0" applyNumberFormat="1" applyFill="1" applyBorder="1"/>
    <xf numFmtId="0" fontId="19" fillId="4" borderId="12" xfId="0" applyFont="1" applyFill="1" applyBorder="1" applyAlignment="1">
      <alignment horizontal="right"/>
    </xf>
    <xf numFmtId="177" fontId="2" fillId="4" borderId="11" xfId="2" applyNumberFormat="1" applyFont="1" applyFill="1" applyBorder="1"/>
    <xf numFmtId="177" fontId="19" fillId="4" borderId="11" xfId="2" applyNumberFormat="1" applyFont="1" applyFill="1" applyBorder="1"/>
    <xf numFmtId="177" fontId="2" fillId="4" borderId="18" xfId="2" applyNumberFormat="1" applyFont="1" applyFill="1" applyBorder="1"/>
    <xf numFmtId="177" fontId="2" fillId="4" borderId="20" xfId="2" applyNumberFormat="1" applyFont="1" applyFill="1" applyBorder="1"/>
    <xf numFmtId="0" fontId="0" fillId="4" borderId="0" xfId="0" applyFill="1"/>
    <xf numFmtId="0" fontId="21" fillId="0" borderId="0" xfId="0" applyFont="1"/>
    <xf numFmtId="164" fontId="0" fillId="0" borderId="0" xfId="0" applyNumberFormat="1"/>
    <xf numFmtId="17" fontId="0" fillId="0" borderId="0" xfId="0" applyNumberFormat="1"/>
    <xf numFmtId="165" fontId="0" fillId="0" borderId="0" xfId="3" applyNumberFormat="1" applyFont="1"/>
    <xf numFmtId="9" fontId="0" fillId="0" borderId="0" xfId="4" applyFont="1"/>
    <xf numFmtId="174" fontId="0" fillId="0" borderId="0" xfId="4" applyNumberFormat="1" applyFont="1"/>
    <xf numFmtId="0" fontId="1" fillId="0" borderId="1" xfId="0" applyFont="1" applyFill="1" applyBorder="1"/>
    <xf numFmtId="176" fontId="1" fillId="0" borderId="1" xfId="0" applyNumberFormat="1" applyFont="1" applyFill="1" applyBorder="1"/>
    <xf numFmtId="0" fontId="0" fillId="0" borderId="1" xfId="0" applyFill="1" applyBorder="1"/>
    <xf numFmtId="176" fontId="0" fillId="0" borderId="1" xfId="2" applyNumberFormat="1" applyFont="1" applyFill="1" applyBorder="1" applyAlignment="1">
      <alignment horizontal="center" vertical="center"/>
    </xf>
    <xf numFmtId="173" fontId="0" fillId="0" borderId="1" xfId="3" applyNumberFormat="1" applyFont="1" applyFill="1" applyBorder="1"/>
    <xf numFmtId="0" fontId="0" fillId="0" borderId="1" xfId="0" applyFill="1" applyBorder="1" applyAlignment="1">
      <alignment horizontal="center" vertical="center"/>
    </xf>
    <xf numFmtId="9" fontId="0" fillId="0" borderId="1" xfId="0" applyNumberFormat="1" applyFill="1" applyBorder="1" applyAlignment="1">
      <alignment horizontal="center" vertical="center"/>
    </xf>
    <xf numFmtId="173" fontId="0" fillId="0" borderId="1" xfId="0" applyNumberFormat="1" applyFill="1" applyBorder="1"/>
    <xf numFmtId="173" fontId="1" fillId="0" borderId="1" xfId="3" applyNumberFormat="1" applyFont="1" applyFill="1" applyBorder="1"/>
    <xf numFmtId="0" fontId="1" fillId="0" borderId="1" xfId="0" applyFont="1" applyBorder="1" applyAlignment="1">
      <alignment vertical="center" wrapText="1"/>
    </xf>
    <xf numFmtId="0" fontId="0" fillId="0" borderId="0" xfId="0" applyFill="1" applyBorder="1"/>
    <xf numFmtId="173" fontId="0" fillId="0" borderId="0" xfId="3" applyNumberFormat="1" applyFont="1" applyFill="1" applyBorder="1"/>
    <xf numFmtId="0" fontId="0" fillId="0" borderId="0" xfId="0" applyFill="1" applyBorder="1" applyAlignment="1">
      <alignment horizontal="center" vertical="center"/>
    </xf>
    <xf numFmtId="0" fontId="17" fillId="0" borderId="1" xfId="0" applyFont="1" applyBorder="1" applyAlignment="1">
      <alignment horizontal="left"/>
    </xf>
    <xf numFmtId="17" fontId="0" fillId="0" borderId="1" xfId="0" applyNumberFormat="1" applyBorder="1" applyAlignment="1">
      <alignment horizontal="left"/>
    </xf>
    <xf numFmtId="0" fontId="0" fillId="0" borderId="1" xfId="0" applyBorder="1" applyAlignment="1">
      <alignment horizontal="left"/>
    </xf>
    <xf numFmtId="169" fontId="0" fillId="0" borderId="1" xfId="2" applyNumberFormat="1" applyFont="1" applyBorder="1" applyAlignment="1">
      <alignment horizontal="left"/>
    </xf>
    <xf numFmtId="169" fontId="1" fillId="0" borderId="1" xfId="2" applyNumberFormat="1" applyFont="1" applyBorder="1" applyAlignment="1">
      <alignment horizontal="left"/>
    </xf>
    <xf numFmtId="0" fontId="0" fillId="0" borderId="28" xfId="0" applyBorder="1" applyAlignment="1">
      <alignment horizontal="left"/>
    </xf>
    <xf numFmtId="169" fontId="0" fillId="0" borderId="28" xfId="2" applyNumberFormat="1" applyFont="1" applyBorder="1" applyAlignment="1">
      <alignment horizontal="left"/>
    </xf>
    <xf numFmtId="0" fontId="0" fillId="0" borderId="0" xfId="0" applyBorder="1" applyAlignment="1">
      <alignment horizontal="left" indent="1"/>
    </xf>
    <xf numFmtId="169" fontId="0" fillId="0" borderId="0" xfId="0" applyNumberFormat="1"/>
    <xf numFmtId="173" fontId="4" fillId="0" borderId="0" xfId="2" applyNumberFormat="1" applyFont="1" applyFill="1" applyBorder="1"/>
    <xf numFmtId="169" fontId="0" fillId="0" borderId="1" xfId="2" applyNumberFormat="1" applyFont="1" applyBorder="1"/>
    <xf numFmtId="173" fontId="4" fillId="2" borderId="1" xfId="2" applyNumberFormat="1" applyFont="1" applyFill="1" applyBorder="1" applyAlignment="1">
      <alignment horizontal="center" vertical="center" wrapText="1"/>
    </xf>
    <xf numFmtId="173" fontId="0" fillId="0" borderId="5" xfId="3" applyNumberFormat="1" applyFont="1" applyBorder="1" applyAlignment="1">
      <alignment horizontal="center" vertical="center"/>
    </xf>
    <xf numFmtId="181" fontId="0" fillId="0" borderId="0" xfId="3" applyNumberFormat="1" applyFont="1"/>
    <xf numFmtId="0" fontId="0" fillId="0" borderId="1" xfId="0" applyBorder="1" applyAlignment="1">
      <alignment horizontal="center" wrapText="1"/>
    </xf>
    <xf numFmtId="0" fontId="22" fillId="0" borderId="1" xfId="0" applyFont="1" applyBorder="1" applyAlignment="1">
      <alignment horizontal="center" vertical="center" wrapText="1"/>
    </xf>
    <xf numFmtId="182" fontId="0" fillId="0" borderId="1" xfId="0" applyNumberFormat="1" applyBorder="1"/>
    <xf numFmtId="9" fontId="0" fillId="0" borderId="1" xfId="0" applyNumberFormat="1" applyBorder="1"/>
    <xf numFmtId="2" fontId="0" fillId="0" borderId="1" xfId="0" applyNumberFormat="1" applyBorder="1"/>
    <xf numFmtId="0" fontId="0" fillId="6" borderId="1" xfId="0" applyFill="1" applyBorder="1"/>
    <xf numFmtId="2" fontId="0" fillId="6" borderId="1" xfId="0" applyNumberFormat="1" applyFill="1" applyBorder="1"/>
    <xf numFmtId="168" fontId="0" fillId="0" borderId="0" xfId="2" applyNumberFormat="1" applyFont="1"/>
    <xf numFmtId="0" fontId="9" fillId="0" borderId="0" xfId="0" applyFont="1"/>
    <xf numFmtId="0" fontId="1" fillId="0" borderId="0" xfId="0" applyFont="1" applyAlignment="1">
      <alignment horizontal="center" vertical="center" wrapText="1"/>
    </xf>
    <xf numFmtId="173" fontId="9" fillId="0" borderId="0" xfId="4" applyNumberFormat="1" applyFont="1" applyAlignment="1">
      <alignment horizontal="center"/>
    </xf>
    <xf numFmtId="0" fontId="0" fillId="0" borderId="1" xfId="0" applyBorder="1" applyAlignment="1">
      <alignment vertical="center"/>
    </xf>
    <xf numFmtId="173" fontId="0" fillId="0" borderId="1" xfId="3" applyNumberFormat="1" applyFont="1" applyBorder="1" applyAlignment="1">
      <alignment horizontal="center" vertical="center"/>
    </xf>
    <xf numFmtId="9" fontId="0" fillId="0" borderId="1" xfId="4" applyNumberFormat="1" applyFont="1" applyBorder="1" applyAlignment="1">
      <alignment horizontal="center" vertical="center"/>
    </xf>
    <xf numFmtId="2" fontId="0" fillId="0" borderId="1" xfId="0" applyNumberFormat="1" applyBorder="1" applyAlignment="1">
      <alignment vertical="center"/>
    </xf>
    <xf numFmtId="173" fontId="0" fillId="0" borderId="0" xfId="3" applyNumberFormat="1" applyFont="1" applyFill="1"/>
    <xf numFmtId="1" fontId="23" fillId="0" borderId="0" xfId="0" applyNumberFormat="1" applyFont="1" applyAlignment="1">
      <alignment horizontal="center"/>
    </xf>
    <xf numFmtId="170" fontId="18" fillId="0" borderId="0" xfId="0" applyNumberFormat="1" applyFont="1"/>
    <xf numFmtId="164" fontId="24" fillId="0" borderId="0" xfId="0" applyNumberFormat="1" applyFont="1"/>
    <xf numFmtId="180" fontId="1" fillId="0" borderId="0" xfId="3" applyNumberFormat="1" applyFont="1"/>
    <xf numFmtId="183" fontId="0" fillId="0" borderId="0" xfId="0" applyNumberFormat="1"/>
    <xf numFmtId="0" fontId="25" fillId="0" borderId="0" xfId="0" applyFont="1" applyAlignment="1">
      <alignment horizontal="right"/>
    </xf>
    <xf numFmtId="167" fontId="26" fillId="0" borderId="0" xfId="3" applyFont="1"/>
    <xf numFmtId="182" fontId="0" fillId="6" borderId="1" xfId="0" applyNumberFormat="1" applyFill="1" applyBorder="1"/>
    <xf numFmtId="2" fontId="5" fillId="0" borderId="1" xfId="0" applyNumberFormat="1" applyFont="1" applyBorder="1" applyAlignment="1">
      <alignment vertical="center"/>
    </xf>
    <xf numFmtId="0" fontId="5" fillId="0" borderId="0" xfId="0" applyFont="1" applyAlignment="1">
      <alignment horizontal="left" indent="1"/>
    </xf>
    <xf numFmtId="182" fontId="18" fillId="0" borderId="0" xfId="0" applyNumberFormat="1" applyFont="1"/>
    <xf numFmtId="0" fontId="18" fillId="0" borderId="0" xfId="0" applyFont="1"/>
    <xf numFmtId="184" fontId="11" fillId="0" borderId="0" xfId="0" applyNumberFormat="1" applyFont="1" applyAlignment="1">
      <alignment horizontal="right" wrapText="1"/>
    </xf>
    <xf numFmtId="183" fontId="18" fillId="0" borderId="0" xfId="0" applyNumberFormat="1" applyFont="1"/>
    <xf numFmtId="167" fontId="0" fillId="0" borderId="1" xfId="3" applyFont="1" applyBorder="1" applyAlignment="1">
      <alignment horizontal="center" vertical="center"/>
    </xf>
    <xf numFmtId="0" fontId="18" fillId="0" borderId="1" xfId="0" applyFont="1" applyFill="1" applyBorder="1" applyAlignment="1">
      <alignment horizontal="center" vertical="center" wrapText="1"/>
    </xf>
    <xf numFmtId="169" fontId="18" fillId="0" borderId="1" xfId="2" applyNumberFormat="1" applyFont="1" applyFill="1" applyBorder="1" applyAlignment="1">
      <alignment vertical="center" wrapText="1"/>
    </xf>
    <xf numFmtId="49" fontId="16" fillId="7" borderId="2" xfId="5" applyNumberFormat="1" applyFont="1" applyBorder="1" applyAlignment="1">
      <alignment horizontal="center" vertical="center" wrapText="1"/>
    </xf>
    <xf numFmtId="49" fontId="16" fillId="7" borderId="8" xfId="5" applyNumberFormat="1" applyFont="1" applyBorder="1" applyAlignment="1">
      <alignment horizontal="center" vertical="center" wrapText="1"/>
    </xf>
    <xf numFmtId="49" fontId="16" fillId="7" borderId="8" xfId="5" applyNumberFormat="1" applyFont="1" applyBorder="1" applyAlignment="1">
      <alignment vertical="center" wrapText="1"/>
    </xf>
    <xf numFmtId="49" fontId="0" fillId="0" borderId="1" xfId="0" applyNumberFormat="1" applyBorder="1"/>
    <xf numFmtId="2" fontId="18" fillId="0" borderId="1" xfId="0" applyNumberFormat="1" applyFont="1" applyBorder="1"/>
    <xf numFmtId="2" fontId="18" fillId="0" borderId="1" xfId="2" applyNumberFormat="1" applyFont="1" applyBorder="1"/>
    <xf numFmtId="2" fontId="18" fillId="0" borderId="1" xfId="2" applyNumberFormat="1" applyFont="1" applyFill="1" applyBorder="1"/>
    <xf numFmtId="2" fontId="0" fillId="0" borderId="1" xfId="0" applyNumberFormat="1" applyFont="1" applyBorder="1"/>
    <xf numFmtId="49" fontId="0" fillId="0" borderId="1" xfId="0" applyNumberFormat="1" applyFill="1" applyBorder="1"/>
    <xf numFmtId="2" fontId="3" fillId="0" borderId="1" xfId="2" applyNumberFormat="1" applyFont="1" applyFill="1" applyBorder="1"/>
    <xf numFmtId="2" fontId="0" fillId="0" borderId="1" xfId="0" applyNumberFormat="1" applyFill="1" applyBorder="1" applyAlignment="1"/>
    <xf numFmtId="182" fontId="0" fillId="0" borderId="1" xfId="0" applyNumberFormat="1" applyFont="1" applyFill="1" applyBorder="1"/>
    <xf numFmtId="182" fontId="3" fillId="0" borderId="1" xfId="2" applyNumberFormat="1" applyFont="1" applyFill="1" applyBorder="1"/>
    <xf numFmtId="49" fontId="0" fillId="4" borderId="1" xfId="0" applyNumberFormat="1" applyFill="1" applyBorder="1"/>
    <xf numFmtId="2" fontId="18" fillId="4" borderId="1" xfId="0" applyNumberFormat="1" applyFont="1" applyFill="1" applyBorder="1"/>
    <xf numFmtId="2" fontId="18" fillId="4" borderId="1" xfId="2" applyNumberFormat="1" applyFont="1" applyFill="1" applyBorder="1"/>
    <xf numFmtId="0" fontId="27" fillId="8" borderId="0" xfId="0" applyFont="1" applyFill="1" applyBorder="1" applyAlignment="1">
      <alignment horizontal="center" vertical="center" wrapText="1"/>
    </xf>
    <xf numFmtId="0" fontId="28" fillId="9" borderId="2" xfId="0" applyFont="1" applyFill="1" applyBorder="1" applyAlignment="1">
      <alignment horizontal="center" vertical="center" wrapText="1"/>
    </xf>
    <xf numFmtId="0" fontId="28" fillId="10" borderId="8" xfId="0" applyFont="1" applyFill="1" applyBorder="1" applyAlignment="1">
      <alignment horizontal="center" vertical="center" wrapText="1"/>
    </xf>
    <xf numFmtId="166" fontId="28" fillId="11" borderId="8" xfId="2" applyNumberFormat="1" applyFont="1" applyFill="1" applyBorder="1" applyAlignment="1">
      <alignment horizontal="right" vertical="center" wrapText="1" indent="1"/>
    </xf>
    <xf numFmtId="166" fontId="28" fillId="10" borderId="8" xfId="2" applyNumberFormat="1" applyFont="1" applyFill="1" applyBorder="1" applyAlignment="1">
      <alignment horizontal="right" vertical="center" wrapText="1" indent="1"/>
    </xf>
    <xf numFmtId="166" fontId="28" fillId="10" borderId="3" xfId="2" applyNumberFormat="1" applyFont="1" applyFill="1" applyBorder="1" applyAlignment="1">
      <alignment horizontal="right" vertical="center" wrapText="1" indent="1"/>
    </xf>
    <xf numFmtId="0" fontId="28" fillId="12" borderId="31" xfId="0" applyFont="1" applyFill="1" applyBorder="1" applyAlignment="1">
      <alignment horizontal="center" vertical="center" wrapText="1"/>
    </xf>
    <xf numFmtId="0" fontId="28" fillId="11" borderId="32" xfId="0" applyFont="1" applyFill="1" applyBorder="1" applyAlignment="1">
      <alignment horizontal="center" vertical="center" wrapText="1"/>
    </xf>
    <xf numFmtId="166" fontId="28" fillId="8" borderId="32" xfId="2" applyNumberFormat="1" applyFont="1" applyFill="1" applyBorder="1" applyAlignment="1">
      <alignment horizontal="right" vertical="center" wrapText="1" indent="1"/>
    </xf>
    <xf numFmtId="166" fontId="28" fillId="11" borderId="32" xfId="2" applyNumberFormat="1" applyFont="1" applyFill="1" applyBorder="1" applyAlignment="1">
      <alignment horizontal="right" vertical="center" wrapText="1" indent="1"/>
    </xf>
    <xf numFmtId="166" fontId="28" fillId="11" borderId="33" xfId="2" applyNumberFormat="1" applyFont="1" applyFill="1" applyBorder="1" applyAlignment="1">
      <alignment horizontal="right" vertical="center" wrapText="1" indent="1"/>
    </xf>
    <xf numFmtId="0" fontId="28" fillId="13" borderId="31" xfId="0" applyFont="1" applyFill="1" applyBorder="1" applyAlignment="1">
      <alignment horizontal="center" vertical="center" wrapText="1"/>
    </xf>
    <xf numFmtId="0" fontId="28" fillId="8" borderId="32" xfId="0" applyFont="1" applyFill="1" applyBorder="1" applyAlignment="1">
      <alignment horizontal="center" vertical="center" wrapText="1"/>
    </xf>
    <xf numFmtId="166" fontId="28" fillId="8" borderId="33" xfId="2" applyNumberFormat="1" applyFont="1" applyFill="1" applyBorder="1" applyAlignment="1">
      <alignment horizontal="right" vertical="center" wrapText="1" indent="1"/>
    </xf>
    <xf numFmtId="0" fontId="28" fillId="12" borderId="34" xfId="0" applyFont="1" applyFill="1" applyBorder="1" applyAlignment="1">
      <alignment horizontal="center" vertical="center" wrapText="1"/>
    </xf>
    <xf numFmtId="0" fontId="28" fillId="11" borderId="35" xfId="0" applyFont="1" applyFill="1" applyBorder="1" applyAlignment="1">
      <alignment horizontal="center" vertical="center" wrapText="1"/>
    </xf>
    <xf numFmtId="166" fontId="28" fillId="11" borderId="35" xfId="2" applyNumberFormat="1" applyFont="1" applyFill="1" applyBorder="1" applyAlignment="1">
      <alignment horizontal="right" vertical="center" wrapText="1" indent="1"/>
    </xf>
    <xf numFmtId="166" fontId="28" fillId="8" borderId="35" xfId="2" applyNumberFormat="1" applyFont="1" applyFill="1" applyBorder="1" applyAlignment="1">
      <alignment horizontal="right" vertical="center" wrapText="1" indent="1"/>
    </xf>
    <xf numFmtId="166" fontId="28" fillId="11" borderId="36" xfId="2" applyNumberFormat="1" applyFont="1" applyFill="1" applyBorder="1" applyAlignment="1">
      <alignment horizontal="right" vertical="center" wrapText="1" indent="1"/>
    </xf>
    <xf numFmtId="166" fontId="0" fillId="0" borderId="0" xfId="0" applyNumberFormat="1"/>
    <xf numFmtId="166" fontId="0" fillId="0" borderId="1" xfId="0" applyNumberFormat="1" applyBorder="1"/>
    <xf numFmtId="173" fontId="18" fillId="0" borderId="5" xfId="3" applyNumberFormat="1" applyFont="1" applyBorder="1" applyAlignment="1">
      <alignment horizontal="center" vertical="center"/>
    </xf>
    <xf numFmtId="173" fontId="5" fillId="0" borderId="0" xfId="0" applyNumberFormat="1" applyFont="1"/>
    <xf numFmtId="167" fontId="5" fillId="0" borderId="0" xfId="3" applyFont="1"/>
    <xf numFmtId="0" fontId="18" fillId="0" borderId="0" xfId="0" applyFont="1" applyAlignment="1">
      <alignment horizontal="left" indent="1"/>
    </xf>
    <xf numFmtId="167" fontId="0" fillId="0" borderId="38" xfId="3" applyNumberFormat="1" applyFont="1" applyBorder="1" applyAlignment="1">
      <alignment vertical="center"/>
    </xf>
    <xf numFmtId="169" fontId="18" fillId="0" borderId="40" xfId="2" applyNumberFormat="1" applyFont="1" applyFill="1" applyBorder="1" applyAlignment="1">
      <alignment vertical="center" wrapText="1"/>
    </xf>
    <xf numFmtId="173" fontId="0" fillId="0" borderId="40" xfId="3" applyNumberFormat="1" applyFont="1" applyBorder="1" applyAlignment="1">
      <alignment horizontal="center" vertical="center"/>
    </xf>
    <xf numFmtId="167" fontId="0" fillId="0" borderId="41" xfId="3" applyNumberFormat="1" applyFont="1" applyBorder="1" applyAlignment="1">
      <alignment vertical="center"/>
    </xf>
    <xf numFmtId="0" fontId="18" fillId="0" borderId="47" xfId="0" applyFont="1" applyFill="1" applyBorder="1" applyAlignment="1">
      <alignment horizontal="center" vertical="center" wrapText="1"/>
    </xf>
    <xf numFmtId="169" fontId="18" fillId="0" borderId="47" xfId="2" applyNumberFormat="1" applyFont="1" applyFill="1" applyBorder="1" applyAlignment="1">
      <alignment vertical="center" wrapText="1"/>
    </xf>
    <xf numFmtId="167" fontId="0" fillId="0" borderId="47" xfId="3" applyFont="1" applyBorder="1" applyAlignment="1">
      <alignment horizontal="center" vertical="center"/>
    </xf>
    <xf numFmtId="167" fontId="0" fillId="0" borderId="48" xfId="3" applyNumberFormat="1" applyFont="1" applyBorder="1" applyAlignment="1">
      <alignment vertical="center"/>
    </xf>
    <xf numFmtId="167" fontId="0" fillId="0" borderId="38" xfId="3" applyNumberFormat="1" applyFont="1" applyBorder="1" applyAlignment="1">
      <alignment horizontal="center" vertical="center"/>
    </xf>
    <xf numFmtId="0" fontId="18" fillId="0" borderId="40" xfId="0" applyFont="1" applyFill="1" applyBorder="1" applyAlignment="1">
      <alignment horizontal="center" vertical="center" wrapText="1"/>
    </xf>
    <xf numFmtId="165" fontId="0" fillId="0" borderId="0" xfId="0" applyNumberFormat="1"/>
    <xf numFmtId="0" fontId="0" fillId="0" borderId="49" xfId="0" applyBorder="1"/>
    <xf numFmtId="0" fontId="0" fillId="0" borderId="46" xfId="0" applyBorder="1" applyAlignment="1">
      <alignment vertical="center" wrapText="1"/>
    </xf>
    <xf numFmtId="0" fontId="0" fillId="0" borderId="0" xfId="0" applyAlignment="1">
      <alignment vertical="center"/>
    </xf>
    <xf numFmtId="0" fontId="0" fillId="0" borderId="37" xfId="0" applyBorder="1" applyAlignment="1">
      <alignment vertical="center" wrapText="1"/>
    </xf>
    <xf numFmtId="0" fontId="18" fillId="0" borderId="37" xfId="0" applyFont="1" applyFill="1" applyBorder="1" applyAlignment="1">
      <alignment horizontal="left" vertical="center" wrapText="1"/>
    </xf>
    <xf numFmtId="0" fontId="0" fillId="0" borderId="39" xfId="0" applyBorder="1" applyAlignment="1">
      <alignment vertical="center" wrapText="1"/>
    </xf>
    <xf numFmtId="0" fontId="16" fillId="14" borderId="42" xfId="0" applyFont="1" applyFill="1" applyBorder="1" applyAlignment="1">
      <alignment horizontal="center" vertical="center"/>
    </xf>
    <xf numFmtId="0" fontId="16" fillId="14" borderId="43" xfId="0" applyFont="1" applyFill="1" applyBorder="1" applyAlignment="1">
      <alignment horizontal="center" vertical="center"/>
    </xf>
    <xf numFmtId="0" fontId="16" fillId="14" borderId="44" xfId="0" applyFont="1" applyFill="1" applyBorder="1" applyAlignment="1">
      <alignment horizontal="center" vertical="center" wrapText="1"/>
    </xf>
    <xf numFmtId="0" fontId="16" fillId="14" borderId="45" xfId="0" applyFont="1" applyFill="1" applyBorder="1" applyAlignment="1">
      <alignment horizontal="center" vertical="center" wrapText="1"/>
    </xf>
    <xf numFmtId="0" fontId="0" fillId="0" borderId="1" xfId="0" applyBorder="1" applyAlignment="1">
      <alignment horizontal="center" wrapText="1"/>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28" xfId="0" applyBorder="1" applyAlignment="1">
      <alignment horizontal="center" vertical="center"/>
    </xf>
  </cellXfs>
  <cellStyles count="6">
    <cellStyle name="Énfasis1" xfId="5" builtinId="29"/>
    <cellStyle name="Millares" xfId="2" builtinId="3"/>
    <cellStyle name="Moneda" xfId="3" builtinId="4"/>
    <cellStyle name="Normal" xfId="0" builtinId="0"/>
    <cellStyle name="Normal 2" xfId="1" xr:uid="{00000000-0005-0000-0000-000004000000}"/>
    <cellStyle name="Porcentaje" xfId="4" builtinId="5"/>
  </cellStyles>
  <dxfs count="0"/>
  <tableStyles count="0" defaultTableStyle="TableStyleMedium2" defaultPivotStyle="PivotStyleLight16"/>
  <colors>
    <mruColors>
      <color rgb="FF0B8B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12035</xdr:colOff>
      <xdr:row>0</xdr:row>
      <xdr:rowOff>87273</xdr:rowOff>
    </xdr:from>
    <xdr:to>
      <xdr:col>6</xdr:col>
      <xdr:colOff>0</xdr:colOff>
      <xdr:row>0</xdr:row>
      <xdr:rowOff>2230641</xdr:rowOff>
    </xdr:to>
    <xdr:pic>
      <xdr:nvPicPr>
        <xdr:cNvPr id="2" name="Imagen 1">
          <a:extLst>
            <a:ext uri="{FF2B5EF4-FFF2-40B4-BE49-F238E27FC236}">
              <a16:creationId xmlns:a16="http://schemas.microsoft.com/office/drawing/2014/main" id="{6AA3B055-F9A2-1146-BA92-C0B61FB2F3F8}"/>
            </a:ext>
          </a:extLst>
        </xdr:cNvPr>
        <xdr:cNvPicPr>
          <a:picLocks noChangeAspect="1"/>
        </xdr:cNvPicPr>
      </xdr:nvPicPr>
      <xdr:blipFill rotWithShape="1">
        <a:blip xmlns:r="http://schemas.openxmlformats.org/officeDocument/2006/relationships" r:embed="rId1"/>
        <a:srcRect b="18494"/>
        <a:stretch/>
      </xdr:blipFill>
      <xdr:spPr>
        <a:xfrm>
          <a:off x="6508573" y="87273"/>
          <a:ext cx="6989248" cy="2143368"/>
        </a:xfrm>
        <a:prstGeom prst="rect">
          <a:avLst/>
        </a:prstGeom>
      </xdr:spPr>
    </xdr:pic>
    <xdr:clientData/>
  </xdr:twoCellAnchor>
  <xdr:twoCellAnchor editAs="oneCell">
    <xdr:from>
      <xdr:col>0</xdr:col>
      <xdr:colOff>234583</xdr:colOff>
      <xdr:row>0</xdr:row>
      <xdr:rowOff>311770</xdr:rowOff>
    </xdr:from>
    <xdr:to>
      <xdr:col>0</xdr:col>
      <xdr:colOff>3116505</xdr:colOff>
      <xdr:row>0</xdr:row>
      <xdr:rowOff>1047769</xdr:rowOff>
    </xdr:to>
    <xdr:pic>
      <xdr:nvPicPr>
        <xdr:cNvPr id="4" name="Imagen 3">
          <a:extLst>
            <a:ext uri="{FF2B5EF4-FFF2-40B4-BE49-F238E27FC236}">
              <a16:creationId xmlns:a16="http://schemas.microsoft.com/office/drawing/2014/main" id="{FFBE6BE7-12E2-7848-BCCE-30146906AF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4583" y="311770"/>
          <a:ext cx="2881922" cy="735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571682</xdr:colOff>
      <xdr:row>0</xdr:row>
      <xdr:rowOff>0</xdr:rowOff>
    </xdr:from>
    <xdr:to>
      <xdr:col>19</xdr:col>
      <xdr:colOff>99251</xdr:colOff>
      <xdr:row>27</xdr:row>
      <xdr:rowOff>100344</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54325" y="0"/>
          <a:ext cx="9066176" cy="5352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462642</xdr:colOff>
      <xdr:row>30</xdr:row>
      <xdr:rowOff>176893</xdr:rowOff>
    </xdr:from>
    <xdr:to>
      <xdr:col>16</xdr:col>
      <xdr:colOff>204107</xdr:colOff>
      <xdr:row>58</xdr:row>
      <xdr:rowOff>128981</xdr:rowOff>
    </xdr:to>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63892" y="6191250"/>
          <a:ext cx="5075465" cy="6265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8"/>
  <sheetViews>
    <sheetView zoomScale="81" zoomScaleNormal="78" workbookViewId="0">
      <selection activeCell="H6" sqref="H6"/>
    </sheetView>
  </sheetViews>
  <sheetFormatPr baseColWidth="10" defaultRowHeight="15" x14ac:dyDescent="0.2"/>
  <cols>
    <col min="1" max="1" width="85.33203125" customWidth="1"/>
    <col min="2" max="6" width="18.33203125" customWidth="1"/>
    <col min="7" max="7" width="13.5" bestFit="1" customWidth="1"/>
  </cols>
  <sheetData>
    <row r="1" spans="1:6" ht="178" customHeight="1" x14ac:dyDescent="0.2"/>
    <row r="2" spans="1:6" ht="2" customHeight="1" thickBot="1" x14ac:dyDescent="0.25"/>
    <row r="3" spans="1:6" ht="47" customHeight="1" thickBot="1" x14ac:dyDescent="0.25">
      <c r="A3" s="216" t="s">
        <v>173</v>
      </c>
      <c r="B3" s="217"/>
      <c r="C3" s="217" t="s">
        <v>174</v>
      </c>
      <c r="D3" s="218" t="s">
        <v>171</v>
      </c>
      <c r="E3" s="218" t="s">
        <v>172</v>
      </c>
      <c r="F3" s="219" t="s">
        <v>175</v>
      </c>
    </row>
    <row r="4" spans="1:6" s="212" customFormat="1" ht="70" customHeight="1" x14ac:dyDescent="0.2">
      <c r="A4" s="211" t="s">
        <v>222</v>
      </c>
      <c r="B4" s="203" t="s">
        <v>213</v>
      </c>
      <c r="C4" s="204">
        <v>6715</v>
      </c>
      <c r="D4" s="205">
        <v>31167095.649999999</v>
      </c>
      <c r="E4" s="205">
        <f>+A!C11</f>
        <v>306492270.30772012</v>
      </c>
      <c r="F4" s="206">
        <f>+E4/D4</f>
        <v>9.8338412327399567</v>
      </c>
    </row>
    <row r="5" spans="1:6" s="212" customFormat="1" ht="70" customHeight="1" x14ac:dyDescent="0.2">
      <c r="A5" s="213" t="s">
        <v>223</v>
      </c>
      <c r="B5" s="156" t="s">
        <v>213</v>
      </c>
      <c r="C5" s="157">
        <v>8062</v>
      </c>
      <c r="D5" s="155">
        <v>31837722</v>
      </c>
      <c r="E5" s="137">
        <f>+B!C11</f>
        <v>367973296.0864988</v>
      </c>
      <c r="F5" s="199">
        <f>+E5/D5</f>
        <v>11.557777157753272</v>
      </c>
    </row>
    <row r="6" spans="1:6" s="212" customFormat="1" ht="70" customHeight="1" x14ac:dyDescent="0.2">
      <c r="A6" s="214" t="s">
        <v>220</v>
      </c>
      <c r="B6" s="156" t="s">
        <v>211</v>
      </c>
      <c r="C6" s="157">
        <v>2000</v>
      </c>
      <c r="D6" s="137">
        <v>5967726.2795000002</v>
      </c>
      <c r="E6" s="137">
        <f>+'C'!C11</f>
        <v>91285858.617340311</v>
      </c>
      <c r="F6" s="207">
        <f>+E6/D6</f>
        <v>15.296589411434702</v>
      </c>
    </row>
    <row r="7" spans="1:6" s="212" customFormat="1" ht="70" customHeight="1" x14ac:dyDescent="0.2">
      <c r="A7" s="213" t="s">
        <v>224</v>
      </c>
      <c r="B7" s="156" t="s">
        <v>212</v>
      </c>
      <c r="C7" s="157">
        <v>125</v>
      </c>
      <c r="D7" s="137">
        <v>19819178.407000002</v>
      </c>
      <c r="E7" s="137">
        <f>+D!C11</f>
        <v>5705366.1635837695</v>
      </c>
      <c r="F7" s="199">
        <f>+E7/D7</f>
        <v>0.28787097257112698</v>
      </c>
    </row>
    <row r="8" spans="1:6" s="212" customFormat="1" ht="70" customHeight="1" thickBot="1" x14ac:dyDescent="0.25">
      <c r="A8" s="215" t="s">
        <v>221</v>
      </c>
      <c r="B8" s="208" t="s">
        <v>211</v>
      </c>
      <c r="C8" s="200">
        <v>1000</v>
      </c>
      <c r="D8" s="201">
        <v>4767595.8389999997</v>
      </c>
      <c r="E8" s="201">
        <f>+E!C11</f>
        <v>45642929.308670156</v>
      </c>
      <c r="F8" s="202">
        <f>+E8/D8</f>
        <v>9.5735735263674808</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33"/>
  <sheetViews>
    <sheetView showGridLines="0" zoomScale="85" zoomScaleNormal="85" workbookViewId="0">
      <selection activeCell="C32" sqref="C32"/>
    </sheetView>
  </sheetViews>
  <sheetFormatPr baseColWidth="10" defaultRowHeight="15" x14ac:dyDescent="0.2"/>
  <cols>
    <col min="1" max="1" width="37.5" bestFit="1" customWidth="1"/>
    <col min="2" max="2" width="3.83203125" customWidth="1"/>
    <col min="3" max="3" width="19" customWidth="1"/>
    <col min="4" max="4" width="16.1640625" customWidth="1"/>
    <col min="5" max="7" width="14.5" bestFit="1" customWidth="1"/>
    <col min="8" max="8" width="15.5" customWidth="1"/>
    <col min="9" max="9" width="14.33203125" hidden="1" customWidth="1"/>
    <col min="10" max="10" width="12.83203125" hidden="1" customWidth="1"/>
    <col min="11" max="11" width="17.33203125" hidden="1" customWidth="1"/>
    <col min="12" max="12" width="14.33203125" hidden="1" customWidth="1"/>
    <col min="13" max="13" width="14.5" bestFit="1" customWidth="1"/>
    <col min="14" max="17" width="14.33203125" hidden="1" customWidth="1"/>
    <col min="18" max="18" width="14.33203125" bestFit="1" customWidth="1"/>
    <col min="19" max="22" width="14.33203125" hidden="1" customWidth="1"/>
    <col min="23" max="23" width="14.83203125" bestFit="1" customWidth="1"/>
    <col min="24" max="24" width="14.6640625" bestFit="1" customWidth="1"/>
  </cols>
  <sheetData>
    <row r="1" spans="1:23" ht="16" thickBot="1" x14ac:dyDescent="0.25"/>
    <row r="2" spans="1:23" x14ac:dyDescent="0.2">
      <c r="A2" s="4" t="s">
        <v>0</v>
      </c>
      <c r="B2" s="11"/>
      <c r="C2" s="7" t="s">
        <v>219</v>
      </c>
    </row>
    <row r="3" spans="1:23" x14ac:dyDescent="0.2">
      <c r="A3" s="5" t="s">
        <v>153</v>
      </c>
      <c r="B3" s="12"/>
      <c r="C3" s="8">
        <v>2290</v>
      </c>
    </row>
    <row r="4" spans="1:23" x14ac:dyDescent="0.2">
      <c r="A4" s="5" t="s">
        <v>2</v>
      </c>
      <c r="B4" s="12"/>
      <c r="C4" s="8">
        <v>1000</v>
      </c>
    </row>
    <row r="5" spans="1:23" x14ac:dyDescent="0.2">
      <c r="A5" s="5" t="s">
        <v>154</v>
      </c>
      <c r="B5" s="12"/>
      <c r="C5" s="8">
        <f>+'Ahorro GLP-GN'!H3</f>
        <v>800</v>
      </c>
    </row>
    <row r="6" spans="1:23" x14ac:dyDescent="0.2">
      <c r="A6" s="5" t="s">
        <v>30</v>
      </c>
      <c r="B6" s="12"/>
      <c r="C6" s="8">
        <f>+C4</f>
        <v>1000</v>
      </c>
    </row>
    <row r="7" spans="1:23" x14ac:dyDescent="0.2">
      <c r="A7" s="5" t="s">
        <v>129</v>
      </c>
      <c r="B7" s="12"/>
      <c r="C7" s="123">
        <v>4767595.8389999997</v>
      </c>
    </row>
    <row r="8" spans="1:23" ht="16" thickBot="1" x14ac:dyDescent="0.25">
      <c r="A8" s="6" t="s">
        <v>37</v>
      </c>
      <c r="B8" s="13"/>
      <c r="C8" s="9">
        <f>+Metodologia!B14</f>
        <v>33161</v>
      </c>
    </row>
    <row r="9" spans="1:23" ht="16" thickBot="1" x14ac:dyDescent="0.25"/>
    <row r="10" spans="1:23" x14ac:dyDescent="0.2">
      <c r="A10" s="4" t="s">
        <v>5</v>
      </c>
      <c r="B10" s="11"/>
      <c r="C10" s="43">
        <v>9.3299999999999994E-2</v>
      </c>
    </row>
    <row r="11" spans="1:23" ht="16" thickBot="1" x14ac:dyDescent="0.25">
      <c r="A11" s="6" t="s">
        <v>6</v>
      </c>
      <c r="B11" s="13"/>
      <c r="C11" s="42">
        <f>+SUM(C27:W27)</f>
        <v>45642929.308670156</v>
      </c>
    </row>
    <row r="13" spans="1:23" s="12" customFormat="1" x14ac:dyDescent="0.2">
      <c r="A13" s="210" t="s">
        <v>1</v>
      </c>
      <c r="B13" s="210"/>
      <c r="C13" s="210">
        <v>0</v>
      </c>
      <c r="D13" s="210">
        <v>1</v>
      </c>
      <c r="E13" s="210">
        <f t="shared" ref="E13:W13" si="0">+D13+1</f>
        <v>2</v>
      </c>
      <c r="F13" s="210">
        <f t="shared" si="0"/>
        <v>3</v>
      </c>
      <c r="G13" s="210">
        <f t="shared" si="0"/>
        <v>4</v>
      </c>
      <c r="H13" s="210">
        <f t="shared" si="0"/>
        <v>5</v>
      </c>
      <c r="I13" s="210">
        <f t="shared" si="0"/>
        <v>6</v>
      </c>
      <c r="J13" s="210">
        <f t="shared" si="0"/>
        <v>7</v>
      </c>
      <c r="K13" s="210">
        <f t="shared" si="0"/>
        <v>8</v>
      </c>
      <c r="L13" s="210">
        <f t="shared" si="0"/>
        <v>9</v>
      </c>
      <c r="M13" s="210">
        <f t="shared" si="0"/>
        <v>10</v>
      </c>
      <c r="N13" s="210">
        <f t="shared" si="0"/>
        <v>11</v>
      </c>
      <c r="O13" s="210">
        <f t="shared" si="0"/>
        <v>12</v>
      </c>
      <c r="P13" s="210">
        <f t="shared" si="0"/>
        <v>13</v>
      </c>
      <c r="Q13" s="210">
        <f t="shared" si="0"/>
        <v>14</v>
      </c>
      <c r="R13" s="210">
        <f t="shared" si="0"/>
        <v>15</v>
      </c>
      <c r="S13" s="210">
        <f t="shared" si="0"/>
        <v>16</v>
      </c>
      <c r="T13" s="210">
        <f t="shared" si="0"/>
        <v>17</v>
      </c>
      <c r="U13" s="210">
        <f t="shared" si="0"/>
        <v>18</v>
      </c>
      <c r="V13" s="210">
        <f t="shared" si="0"/>
        <v>19</v>
      </c>
      <c r="W13" s="210">
        <f t="shared" si="0"/>
        <v>20</v>
      </c>
    </row>
    <row r="15" spans="1:23" x14ac:dyDescent="0.2">
      <c r="A15" t="s">
        <v>7</v>
      </c>
      <c r="C15" s="2">
        <v>0</v>
      </c>
      <c r="D15" s="2">
        <v>0.35</v>
      </c>
      <c r="E15" s="2">
        <v>0.45</v>
      </c>
      <c r="F15" s="2">
        <v>0.55000000000000004</v>
      </c>
      <c r="G15" s="2">
        <v>0.65</v>
      </c>
      <c r="H15" s="2">
        <v>0.75</v>
      </c>
      <c r="I15" s="2">
        <v>0.8</v>
      </c>
      <c r="J15" s="2">
        <v>0.85</v>
      </c>
      <c r="K15" s="2">
        <v>0.9</v>
      </c>
      <c r="L15" s="2">
        <v>0.95</v>
      </c>
      <c r="M15" s="2">
        <v>1</v>
      </c>
      <c r="N15" s="2">
        <v>1</v>
      </c>
      <c r="O15" s="2">
        <v>1</v>
      </c>
      <c r="P15" s="2">
        <v>1</v>
      </c>
      <c r="Q15" s="2">
        <v>1</v>
      </c>
      <c r="R15" s="2">
        <v>1</v>
      </c>
      <c r="S15" s="2">
        <v>1</v>
      </c>
      <c r="T15" s="2">
        <v>1</v>
      </c>
      <c r="U15" s="2">
        <v>1</v>
      </c>
      <c r="V15" s="2">
        <v>1</v>
      </c>
      <c r="W15" s="2">
        <v>1</v>
      </c>
    </row>
    <row r="16" spans="1:23" x14ac:dyDescent="0.2">
      <c r="A16" s="16"/>
      <c r="B16" s="16"/>
      <c r="C16" s="197"/>
      <c r="D16" s="41"/>
    </row>
    <row r="17" spans="1:24" x14ac:dyDescent="0.2">
      <c r="A17" t="s">
        <v>155</v>
      </c>
      <c r="C17" s="3"/>
      <c r="D17" s="40">
        <f>+$C$5*$C$4*D15*'Costo fiscal Estado Nac'!$D$30</f>
        <v>427006.26294700091</v>
      </c>
      <c r="E17" s="40">
        <f>+$C$5*$C$4*E15*'Costo fiscal Estado Nac'!$D$30</f>
        <v>549008.05236042978</v>
      </c>
      <c r="F17" s="40">
        <f>+$C$5*$C$4*F15*'Costo fiscal Estado Nac'!$D$30</f>
        <v>671009.84177385864</v>
      </c>
      <c r="G17" s="40">
        <f>+$C$5*$C$4*G15*'Costo fiscal Estado Nac'!$D$30</f>
        <v>793011.63118728739</v>
      </c>
      <c r="H17" s="40">
        <f>+$C$5*$C$4*H15*'Costo fiscal Estado Nac'!$D$30</f>
        <v>915013.42060071626</v>
      </c>
      <c r="I17" s="40">
        <f>+$C$5*$C$4*I15*'Costo fiscal Estado Nac'!$D$30</f>
        <v>976014.31530743069</v>
      </c>
      <c r="J17" s="40">
        <f>+$C$5*$C$4*J15*'Costo fiscal Estado Nac'!$D$30</f>
        <v>1037015.2100141451</v>
      </c>
      <c r="K17" s="40">
        <f>+$C$5*$C$4*K15*'Costo fiscal Estado Nac'!$D$30</f>
        <v>1098016.1047208596</v>
      </c>
      <c r="L17" s="40">
        <f>+$C$5*$C$4*L15*'Costo fiscal Estado Nac'!$D$30</f>
        <v>1159016.999427574</v>
      </c>
      <c r="M17" s="40">
        <f>+$C$5*$C$4*M15*'Costo fiscal Estado Nac'!$D$30</f>
        <v>1220017.8941342884</v>
      </c>
      <c r="N17" s="40">
        <f>+$C$5*$C$4*N15*'Costo fiscal Estado Nac'!$D$30</f>
        <v>1220017.8941342884</v>
      </c>
      <c r="O17" s="40">
        <f>+$C$5*$C$4*O15*'Costo fiscal Estado Nac'!$D$30</f>
        <v>1220017.8941342884</v>
      </c>
      <c r="P17" s="40">
        <f>+$C$5*$C$4*P15*'Costo fiscal Estado Nac'!$D$30</f>
        <v>1220017.8941342884</v>
      </c>
      <c r="Q17" s="40">
        <f>+$C$5*$C$4*Q15*'Costo fiscal Estado Nac'!$D$30</f>
        <v>1220017.8941342884</v>
      </c>
      <c r="R17" s="40">
        <f>+$C$5*$C$4*R15*'Costo fiscal Estado Nac'!$D$30</f>
        <v>1220017.8941342884</v>
      </c>
      <c r="S17" s="40">
        <f>+$C$5*$C$4*S15*'Costo fiscal Estado Nac'!$D$30</f>
        <v>1220017.8941342884</v>
      </c>
      <c r="T17" s="40">
        <f>+$C$5*$C$4*T15*'Costo fiscal Estado Nac'!$D$30</f>
        <v>1220017.8941342884</v>
      </c>
      <c r="U17" s="40">
        <f>+$C$5*$C$4*U15*'Costo fiscal Estado Nac'!$D$30</f>
        <v>1220017.8941342884</v>
      </c>
      <c r="V17" s="40">
        <f>+$C$5*$C$4*V15*'Costo fiscal Estado Nac'!$D$30</f>
        <v>1220017.8941342884</v>
      </c>
      <c r="W17" s="40">
        <f>+$C$5*$C$4*W15*'Costo fiscal Estado Nac'!$D$30</f>
        <v>1220017.8941342884</v>
      </c>
    </row>
    <row r="18" spans="1:24" x14ac:dyDescent="0.2">
      <c r="A18" t="s">
        <v>3</v>
      </c>
      <c r="C18" s="3"/>
      <c r="D18" s="40">
        <f t="shared" ref="D18:W18" si="1">+$C$8*(D15-C15)*$C$4</f>
        <v>11606349.999999998</v>
      </c>
      <c r="E18" s="40">
        <f t="shared" si="1"/>
        <v>3316100.0000000014</v>
      </c>
      <c r="F18" s="40">
        <f t="shared" si="1"/>
        <v>3316100.0000000014</v>
      </c>
      <c r="G18" s="40">
        <f t="shared" si="1"/>
        <v>3316099.9999999995</v>
      </c>
      <c r="H18" s="40">
        <f t="shared" si="1"/>
        <v>3316099.9999999995</v>
      </c>
      <c r="I18" s="40">
        <f t="shared" si="1"/>
        <v>1658050.0000000016</v>
      </c>
      <c r="J18" s="40">
        <f t="shared" si="1"/>
        <v>1658049.9999999977</v>
      </c>
      <c r="K18" s="40">
        <f t="shared" si="1"/>
        <v>1658050.0000000016</v>
      </c>
      <c r="L18" s="40">
        <f t="shared" si="1"/>
        <v>1658049.9999999977</v>
      </c>
      <c r="M18" s="40">
        <f t="shared" si="1"/>
        <v>1658050.0000000016</v>
      </c>
      <c r="N18" s="40">
        <f t="shared" si="1"/>
        <v>0</v>
      </c>
      <c r="O18" s="40">
        <f t="shared" si="1"/>
        <v>0</v>
      </c>
      <c r="P18" s="40">
        <f t="shared" si="1"/>
        <v>0</v>
      </c>
      <c r="Q18" s="40">
        <f t="shared" si="1"/>
        <v>0</v>
      </c>
      <c r="R18" s="40">
        <f t="shared" si="1"/>
        <v>0</v>
      </c>
      <c r="S18" s="40">
        <f t="shared" si="1"/>
        <v>0</v>
      </c>
      <c r="T18" s="40">
        <f t="shared" si="1"/>
        <v>0</v>
      </c>
      <c r="U18" s="40">
        <f t="shared" si="1"/>
        <v>0</v>
      </c>
      <c r="V18" s="40">
        <f t="shared" si="1"/>
        <v>0</v>
      </c>
      <c r="W18" s="40">
        <f t="shared" si="1"/>
        <v>0</v>
      </c>
    </row>
    <row r="19" spans="1:24" x14ac:dyDescent="0.2">
      <c r="C19" s="3"/>
      <c r="D19" s="3"/>
      <c r="E19" s="3"/>
      <c r="F19" s="3"/>
      <c r="G19" s="3"/>
      <c r="H19" s="3"/>
      <c r="I19" s="3"/>
      <c r="J19" s="3"/>
      <c r="K19" s="3"/>
      <c r="L19" s="3"/>
      <c r="M19" s="3"/>
      <c r="N19" s="3"/>
      <c r="O19" s="3"/>
      <c r="P19" s="3"/>
      <c r="Q19" s="3"/>
      <c r="R19" s="3"/>
      <c r="S19" s="3"/>
      <c r="T19" s="3"/>
      <c r="U19" s="3"/>
      <c r="V19" s="3"/>
      <c r="W19" s="3"/>
    </row>
    <row r="20" spans="1:24" s="30" customFormat="1" x14ac:dyDescent="0.2">
      <c r="A20" s="30" t="s">
        <v>34</v>
      </c>
      <c r="C20" s="31"/>
      <c r="D20" s="40">
        <f>'Ahorro GLP-GN'!$C$14*D15*$C$4</f>
        <v>945808.81656660081</v>
      </c>
      <c r="E20" s="40">
        <f>'Ahorro GLP-GN'!$C$14*E15*$C$4</f>
        <v>1216039.9070142012</v>
      </c>
      <c r="F20" s="40">
        <f>'Ahorro GLP-GN'!$C$14*F15*$C$4</f>
        <v>1486270.9974618014</v>
      </c>
      <c r="G20" s="40">
        <f>'Ahorro GLP-GN'!$C$14*G15*$C$4</f>
        <v>1756502.0879094019</v>
      </c>
      <c r="H20" s="40">
        <f>'Ahorro GLP-GN'!$C$14*H15*$C$4</f>
        <v>2026733.1783570021</v>
      </c>
      <c r="I20" s="40">
        <f>'Ahorro GLP-GN'!$C$14*I15*$C$4</f>
        <v>2161848.7235808019</v>
      </c>
      <c r="J20" s="40">
        <f>'Ahorro GLP-GN'!$C$14*J15*$C$4</f>
        <v>2296964.2688046023</v>
      </c>
      <c r="K20" s="40">
        <f>'Ahorro GLP-GN'!$C$14*K15*$C$4</f>
        <v>2432079.8140284023</v>
      </c>
      <c r="L20" s="40">
        <f>'Ahorro GLP-GN'!$C$14*L15*$C$4</f>
        <v>2567195.3592522023</v>
      </c>
      <c r="M20" s="40">
        <f>'Ahorro GLP-GN'!$C$14*M15*$C$4</f>
        <v>2702310.9044760028</v>
      </c>
      <c r="N20" s="40">
        <f>'Ahorro GLP-GN'!$C$14*N15*$C$4</f>
        <v>2702310.9044760028</v>
      </c>
      <c r="O20" s="40">
        <f>'Ahorro GLP-GN'!$C$14*O15*$C$4</f>
        <v>2702310.9044760028</v>
      </c>
      <c r="P20" s="40">
        <f>'Ahorro GLP-GN'!$C$14*P15*$C$4</f>
        <v>2702310.9044760028</v>
      </c>
      <c r="Q20" s="40">
        <f>'Ahorro GLP-GN'!$C$14*Q15*$C$4</f>
        <v>2702310.9044760028</v>
      </c>
      <c r="R20" s="40">
        <f>'Ahorro GLP-GN'!$C$14*R15*$C$4</f>
        <v>2702310.9044760028</v>
      </c>
      <c r="S20" s="40">
        <f>'Ahorro GLP-GN'!$C$14*S15*$C$4</f>
        <v>2702310.9044760028</v>
      </c>
      <c r="T20" s="40">
        <f>'Ahorro GLP-GN'!$C$14*T15*$C$4</f>
        <v>2702310.9044760028</v>
      </c>
      <c r="U20" s="40">
        <f>'Ahorro GLP-GN'!$C$14*U15*$C$4</f>
        <v>2702310.9044760028</v>
      </c>
      <c r="V20" s="40">
        <f>'Ahorro GLP-GN'!$C$14*V15*$C$4</f>
        <v>2702310.9044760028</v>
      </c>
      <c r="W20" s="40">
        <f>'Ahorro GLP-GN'!$C$14*W15*$C$4</f>
        <v>2702310.9044760028</v>
      </c>
      <c r="X20"/>
    </row>
    <row r="21" spans="1:24" x14ac:dyDescent="0.2">
      <c r="A21" s="30" t="s">
        <v>156</v>
      </c>
      <c r="C21" s="3"/>
      <c r="D21" s="40">
        <f>+$C$4*D15*'Ahorro GLP-GN'!$E$14</f>
        <v>501608.51999999973</v>
      </c>
      <c r="E21" s="40">
        <f>+$C$4*E15*'Ahorro GLP-GN'!$E$14</f>
        <v>644925.23999999964</v>
      </c>
      <c r="F21" s="40">
        <f>+$C$4*F15*'Ahorro GLP-GN'!$E$14</f>
        <v>788241.9599999995</v>
      </c>
      <c r="G21" s="40">
        <f>+$C$4*G15*'Ahorro GLP-GN'!$E$14</f>
        <v>931558.67999999947</v>
      </c>
      <c r="H21" s="40">
        <f>+$C$4*H15*'Ahorro GLP-GN'!$E$14</f>
        <v>1074875.3999999994</v>
      </c>
      <c r="I21" s="40">
        <f>+$C$4*I15*'Ahorro GLP-GN'!$E$14</f>
        <v>1146533.7599999993</v>
      </c>
      <c r="J21" s="40">
        <f>+$C$4*J15*'Ahorro GLP-GN'!$E$14</f>
        <v>1218192.1199999994</v>
      </c>
      <c r="K21" s="40">
        <f>+$C$4*K15*'Ahorro GLP-GN'!$E$14</f>
        <v>1289850.4799999993</v>
      </c>
      <c r="L21" s="40">
        <f>+$C$4*L15*'Ahorro GLP-GN'!$E$14</f>
        <v>1361508.8399999992</v>
      </c>
      <c r="M21" s="40">
        <f>+$C$4*M15*'Ahorro GLP-GN'!$E$14</f>
        <v>1433167.1999999993</v>
      </c>
      <c r="N21" s="40">
        <f>+$C$4*N15*'Ahorro GLP-GN'!$E$14</f>
        <v>1433167.1999999993</v>
      </c>
      <c r="O21" s="40">
        <f>+$C$4*O15*'Ahorro GLP-GN'!$E$14</f>
        <v>1433167.1999999993</v>
      </c>
      <c r="P21" s="40">
        <f>+$C$4*P15*'Ahorro GLP-GN'!$E$14</f>
        <v>1433167.1999999993</v>
      </c>
      <c r="Q21" s="40">
        <f>+$C$4*Q15*'Ahorro GLP-GN'!$E$14</f>
        <v>1433167.1999999993</v>
      </c>
      <c r="R21" s="40">
        <f>+$C$4*R15*'Ahorro GLP-GN'!$E$14</f>
        <v>1433167.1999999993</v>
      </c>
      <c r="S21" s="40">
        <f>+$C$4*S15*'Ahorro GLP-GN'!$E$14</f>
        <v>1433167.1999999993</v>
      </c>
      <c r="T21" s="40">
        <f>+$C$4*T15*'Ahorro GLP-GN'!$E$14</f>
        <v>1433167.1999999993</v>
      </c>
      <c r="U21" s="40">
        <f>+$C$4*U15*'Ahorro GLP-GN'!$E$14</f>
        <v>1433167.1999999993</v>
      </c>
      <c r="V21" s="40">
        <f>+$C$4*V15*'Ahorro GLP-GN'!$E$14</f>
        <v>1433167.1999999993</v>
      </c>
      <c r="W21" s="40">
        <f>+$C$4*W15*'Ahorro GLP-GN'!$E$14</f>
        <v>1433167.1999999993</v>
      </c>
    </row>
    <row r="22" spans="1:24" x14ac:dyDescent="0.2">
      <c r="A22" t="s">
        <v>10</v>
      </c>
      <c r="C22" s="3"/>
      <c r="D22" s="40">
        <f>+$C$6*(Metodologia!$B$5-Metodologia!$B$7)*(D15-C15)</f>
        <v>23792160.00000003</v>
      </c>
      <c r="E22" s="40">
        <f>+$C$6*(Metodologia!$B$5-Metodologia!$B$7)*(E15-D15)</f>
        <v>6797760.0000000112</v>
      </c>
      <c r="F22" s="40">
        <f>+$C$6*(Metodologia!$B$5-Metodologia!$B$7)*(F15-E15)</f>
        <v>6797760.0000000112</v>
      </c>
      <c r="G22" s="40">
        <f>+$C$6*(Metodologia!$B$5-Metodologia!$B$7)*(G15-F15)</f>
        <v>6797760.0000000075</v>
      </c>
      <c r="H22" s="40">
        <f>+$C$6*(Metodologia!$B$5-Metodologia!$B$7)*(H15-G15)</f>
        <v>6797760.0000000075</v>
      </c>
      <c r="I22" s="40">
        <f>+$C$6*(Metodologia!$B$5-Metodologia!$B$7)*(I15-H15)</f>
        <v>3398880.0000000075</v>
      </c>
      <c r="J22" s="40">
        <f>+$C$6*(Metodologia!$B$5-Metodologia!$B$7)*(J15-I15)</f>
        <v>3398880</v>
      </c>
      <c r="K22" s="40">
        <f>+$C$6*(Metodologia!$B$5-Metodologia!$B$7)*(K15-J15)</f>
        <v>3398880.0000000075</v>
      </c>
      <c r="L22" s="40">
        <f>+$C$6*(Metodologia!$B$5-Metodologia!$B$7)*(L15-K15)</f>
        <v>3398880</v>
      </c>
      <c r="M22" s="40">
        <f>+$C$6*(Metodologia!$B$5-Metodologia!$B$7)*(M15-L15)</f>
        <v>3398880.0000000075</v>
      </c>
      <c r="N22" s="40">
        <f>+$C$6*(Metodologia!$B$5-Metodologia!$B$7)*(N15-M15)</f>
        <v>0</v>
      </c>
      <c r="O22" s="40">
        <f>+$C$6*(Metodologia!$B$5-Metodologia!$B$7)*(O15-N15)</f>
        <v>0</v>
      </c>
      <c r="P22" s="40">
        <f>+$C$6*(Metodologia!$B$5-Metodologia!$B$7)*(P15-O15)</f>
        <v>0</v>
      </c>
      <c r="Q22" s="40">
        <f>+$C$6*(Metodologia!$B$5-Metodologia!$B$7)*(Q15-P15)</f>
        <v>0</v>
      </c>
      <c r="R22" s="40">
        <f>+$C$6*(Metodologia!$B$5-Metodologia!$B$7)*(R15-Q15)</f>
        <v>0</v>
      </c>
      <c r="S22" s="40">
        <f>+$C$6*(Metodologia!$B$5-Metodologia!$B$7)*(S15-R15)</f>
        <v>0</v>
      </c>
      <c r="T22" s="40">
        <f>+$C$6*(Metodologia!$B$5-Metodologia!$B$7)*(T15-S15)</f>
        <v>0</v>
      </c>
      <c r="U22" s="40">
        <f>+$C$6*(Metodologia!$B$5-Metodologia!$B$7)*(U15-T15)</f>
        <v>0</v>
      </c>
      <c r="V22" s="40">
        <f>+$C$6*(Metodologia!$B$5-Metodologia!$B$7)*(V15-U15)</f>
        <v>0</v>
      </c>
      <c r="W22" s="40">
        <f>+$C$6*(Metodologia!$B$5-Metodologia!$B$7)*(W15-V15)</f>
        <v>0</v>
      </c>
    </row>
    <row r="23" spans="1:24" x14ac:dyDescent="0.2">
      <c r="C23" s="3"/>
      <c r="D23" s="3"/>
      <c r="E23" s="3"/>
      <c r="F23" s="3"/>
      <c r="G23" s="3"/>
      <c r="H23" s="3"/>
      <c r="I23" s="3"/>
      <c r="J23" s="3"/>
      <c r="K23" s="3"/>
      <c r="L23" s="3"/>
      <c r="M23" s="3"/>
      <c r="N23" s="3"/>
      <c r="O23" s="3"/>
      <c r="P23" s="3"/>
      <c r="Q23" s="3"/>
      <c r="R23" s="3"/>
      <c r="S23" s="3"/>
      <c r="T23" s="3"/>
      <c r="U23" s="3"/>
      <c r="V23" s="3"/>
      <c r="W23" s="3"/>
    </row>
    <row r="24" spans="1:24" x14ac:dyDescent="0.2">
      <c r="C24" s="3"/>
      <c r="D24" s="3"/>
      <c r="E24" s="3"/>
      <c r="F24" s="3"/>
      <c r="G24" s="3"/>
      <c r="H24" s="3"/>
      <c r="I24" s="3"/>
      <c r="J24" s="3"/>
      <c r="K24" s="3"/>
      <c r="L24" s="3"/>
      <c r="M24" s="3"/>
      <c r="N24" s="3"/>
      <c r="O24" s="3"/>
      <c r="P24" s="3"/>
      <c r="Q24" s="3"/>
      <c r="R24" s="3"/>
      <c r="S24" s="3"/>
      <c r="T24" s="3"/>
      <c r="U24" s="3"/>
      <c r="V24" s="3"/>
      <c r="W24" s="3"/>
    </row>
    <row r="25" spans="1:24" x14ac:dyDescent="0.2">
      <c r="A25" t="s">
        <v>4</v>
      </c>
      <c r="C25" s="3">
        <f>+SUM(C16,C18:C18,C20,C22)</f>
        <v>0</v>
      </c>
      <c r="D25" s="40">
        <f>+SUM(D20:D22)-SUM(D16:D18)</f>
        <v>13206221.073619632</v>
      </c>
      <c r="E25" s="40">
        <f t="shared" ref="E25:W25" si="2">+SUM(E20:E22)-SUM(E16:E18)</f>
        <v>4793617.0946537806</v>
      </c>
      <c r="F25" s="40">
        <f t="shared" si="2"/>
        <v>5085163.1156879514</v>
      </c>
      <c r="G25" s="40">
        <f t="shared" si="2"/>
        <v>5376709.1367221205</v>
      </c>
      <c r="H25" s="40">
        <f t="shared" si="2"/>
        <v>5668255.1577562932</v>
      </c>
      <c r="I25" s="40">
        <f t="shared" si="2"/>
        <v>4073198.1682733768</v>
      </c>
      <c r="J25" s="40">
        <f t="shared" si="2"/>
        <v>4218971.1787904585</v>
      </c>
      <c r="K25" s="40">
        <f t="shared" si="2"/>
        <v>4364744.1893075481</v>
      </c>
      <c r="L25" s="40">
        <f t="shared" si="2"/>
        <v>4510517.1998246294</v>
      </c>
      <c r="M25" s="40">
        <f t="shared" si="2"/>
        <v>4656290.2103417199</v>
      </c>
      <c r="N25" s="40">
        <f t="shared" si="2"/>
        <v>2915460.2103417134</v>
      </c>
      <c r="O25" s="40">
        <f t="shared" si="2"/>
        <v>2915460.2103417134</v>
      </c>
      <c r="P25" s="40">
        <f t="shared" si="2"/>
        <v>2915460.2103417134</v>
      </c>
      <c r="Q25" s="40">
        <f t="shared" si="2"/>
        <v>2915460.2103417134</v>
      </c>
      <c r="R25" s="40">
        <f t="shared" si="2"/>
        <v>2915460.2103417134</v>
      </c>
      <c r="S25" s="40">
        <f t="shared" si="2"/>
        <v>2915460.2103417134</v>
      </c>
      <c r="T25" s="40">
        <f t="shared" si="2"/>
        <v>2915460.2103417134</v>
      </c>
      <c r="U25" s="40">
        <f t="shared" si="2"/>
        <v>2915460.2103417134</v>
      </c>
      <c r="V25" s="40">
        <f t="shared" si="2"/>
        <v>2915460.2103417134</v>
      </c>
      <c r="W25" s="40">
        <f t="shared" si="2"/>
        <v>2915460.2103417134</v>
      </c>
    </row>
    <row r="26" spans="1:24" x14ac:dyDescent="0.2">
      <c r="A26" t="s">
        <v>9</v>
      </c>
      <c r="C26" s="10">
        <f t="shared" ref="C26:W26" si="3">1/(1+$C$10)^C13</f>
        <v>1</v>
      </c>
      <c r="D26" s="10">
        <f t="shared" si="3"/>
        <v>0.91466203237903598</v>
      </c>
      <c r="E26" s="10">
        <f t="shared" si="3"/>
        <v>0.83660663347574871</v>
      </c>
      <c r="F26" s="10">
        <f t="shared" si="3"/>
        <v>0.76521232367671166</v>
      </c>
      <c r="G26" s="10">
        <f t="shared" si="3"/>
        <v>0.69991065917562578</v>
      </c>
      <c r="H26" s="10">
        <f t="shared" si="3"/>
        <v>0.64018170600532864</v>
      </c>
      <c r="I26" s="10">
        <f t="shared" si="3"/>
        <v>0.58554990030671239</v>
      </c>
      <c r="J26" s="10">
        <f t="shared" si="3"/>
        <v>0.53558026187387953</v>
      </c>
      <c r="K26" s="10">
        <f t="shared" si="3"/>
        <v>0.48987493082765893</v>
      </c>
      <c r="L26" s="10">
        <f t="shared" si="3"/>
        <v>0.44806999984236617</v>
      </c>
      <c r="M26" s="10">
        <f t="shared" si="3"/>
        <v>0.40983261670389304</v>
      </c>
      <c r="N26" s="10">
        <f t="shared" si="3"/>
        <v>0.37485833412960123</v>
      </c>
      <c r="O26" s="10">
        <f t="shared" si="3"/>
        <v>0.34286868574920082</v>
      </c>
      <c r="P26" s="10">
        <f t="shared" si="3"/>
        <v>0.31360896894649309</v>
      </c>
      <c r="Q26" s="10">
        <f t="shared" si="3"/>
        <v>0.28684621690889334</v>
      </c>
      <c r="R26" s="10">
        <f t="shared" si="3"/>
        <v>0.26236734373812615</v>
      </c>
      <c r="S26" s="10">
        <f t="shared" si="3"/>
        <v>0.23997744785340364</v>
      </c>
      <c r="T26" s="10">
        <f t="shared" si="3"/>
        <v>0.21949826017872831</v>
      </c>
      <c r="U26" s="10">
        <f t="shared" si="3"/>
        <v>0.20076672475873805</v>
      </c>
      <c r="V26" s="10">
        <f t="shared" si="3"/>
        <v>0.18363370050190989</v>
      </c>
      <c r="W26" s="10">
        <f t="shared" si="3"/>
        <v>0.16796277371436008</v>
      </c>
    </row>
    <row r="27" spans="1:24" x14ac:dyDescent="0.2">
      <c r="A27" t="s">
        <v>8</v>
      </c>
      <c r="C27" s="3">
        <f t="shared" ref="C27:V27" si="4">+C26*C25</f>
        <v>0</v>
      </c>
      <c r="D27" s="95">
        <f>+D26*D25</f>
        <v>12079229.007243788</v>
      </c>
      <c r="E27" s="95">
        <f>+E26*E25</f>
        <v>4010371.8597300989</v>
      </c>
      <c r="F27" s="95">
        <f>+F26*F25</f>
        <v>3891229.4840306845</v>
      </c>
      <c r="G27" s="95">
        <f>+G26*G25</f>
        <v>3763216.0360787893</v>
      </c>
      <c r="H27" s="95">
        <f>+H26*H25</f>
        <v>3628713.2569659268</v>
      </c>
      <c r="I27" s="40">
        <f t="shared" si="4"/>
        <v>2385060.7813619594</v>
      </c>
      <c r="J27" s="40">
        <f t="shared" si="4"/>
        <v>2259597.6887749438</v>
      </c>
      <c r="K27" s="40">
        <f t="shared" si="4"/>
        <v>2138178.7578174612</v>
      </c>
      <c r="L27" s="40">
        <f t="shared" si="4"/>
        <v>2021027.4410144116</v>
      </c>
      <c r="M27" s="95">
        <f>+M26*M25</f>
        <v>1908299.6010370676</v>
      </c>
      <c r="N27" s="40">
        <f t="shared" si="4"/>
        <v>1092884.5576698314</v>
      </c>
      <c r="O27" s="40">
        <f t="shared" si="4"/>
        <v>999620.01067395182</v>
      </c>
      <c r="P27" s="40">
        <f t="shared" si="4"/>
        <v>914314.47056979057</v>
      </c>
      <c r="Q27" s="40">
        <f t="shared" si="4"/>
        <v>836288.73188492691</v>
      </c>
      <c r="R27" s="95">
        <f>+R26*R25</f>
        <v>764921.55116155383</v>
      </c>
      <c r="S27" s="40">
        <f t="shared" si="4"/>
        <v>699644.70059595176</v>
      </c>
      <c r="T27" s="40">
        <f t="shared" si="4"/>
        <v>639938.44379031542</v>
      </c>
      <c r="U27" s="40">
        <f t="shared" si="4"/>
        <v>585327.39759472734</v>
      </c>
      <c r="V27" s="40">
        <f t="shared" si="4"/>
        <v>535376.74709112535</v>
      </c>
      <c r="W27" s="95">
        <f>+W26*W25</f>
        <v>489688.78358284588</v>
      </c>
    </row>
    <row r="28" spans="1:24" x14ac:dyDescent="0.2">
      <c r="D28" s="41"/>
      <c r="E28" s="41"/>
      <c r="F28" s="41"/>
      <c r="G28" s="41"/>
      <c r="H28" s="41"/>
      <c r="I28" s="41"/>
      <c r="J28" s="41"/>
      <c r="K28" s="41"/>
      <c r="L28" s="41"/>
      <c r="M28" s="41"/>
      <c r="N28" s="41"/>
      <c r="O28" s="41"/>
      <c r="P28" s="41"/>
      <c r="Q28" s="41"/>
      <c r="R28" s="41"/>
      <c r="S28" s="41"/>
      <c r="T28" s="41"/>
      <c r="U28" s="41"/>
      <c r="V28" s="41"/>
      <c r="W28" s="41"/>
    </row>
    <row r="29" spans="1:24" x14ac:dyDescent="0.2">
      <c r="D29" s="2"/>
    </row>
    <row r="31" spans="1:24" x14ac:dyDescent="0.2">
      <c r="D31" s="37"/>
    </row>
    <row r="32" spans="1:24" x14ac:dyDescent="0.2">
      <c r="F32" s="38"/>
    </row>
    <row r="33" spans="6:6" x14ac:dyDescent="0.2">
      <c r="F33" s="14"/>
    </row>
  </sheetData>
  <sheetProtection algorithmName="SHA-512" hashValue="+B/YWPGIwnei+FATd8XogGxFn8zSvNXg3sqnnrY16vEm3DOU8gHUP0651jeP4B2e9qFpsEyDNgR4Vh+PjyNAVg==" saltValue="hCKP4IVOHYp7OBG1Z3fl9w==" spinCount="100000" sheet="1" objects="1" scenarios="1"/>
  <pageMargins left="0.7" right="0.7" top="0.75" bottom="0.75" header="0.3" footer="0.3"/>
  <pageSetup paperSize="9" scale="26"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58"/>
  <sheetViews>
    <sheetView showGridLines="0" zoomScale="85" zoomScaleNormal="85" workbookViewId="0">
      <selection activeCell="F51" sqref="F51"/>
    </sheetView>
  </sheetViews>
  <sheetFormatPr baseColWidth="10" defaultRowHeight="15" x14ac:dyDescent="0.2"/>
  <cols>
    <col min="1" max="1" width="47.1640625" customWidth="1"/>
    <col min="2" max="2" width="14" customWidth="1"/>
    <col min="3" max="3" width="12.6640625" customWidth="1"/>
    <col min="4" max="4" width="16.6640625" customWidth="1"/>
    <col min="5" max="5" width="17.6640625" customWidth="1"/>
    <col min="6" max="6" width="16.1640625" bestFit="1" customWidth="1"/>
    <col min="7" max="7" width="14.1640625" customWidth="1"/>
    <col min="8" max="8" width="16.83203125" customWidth="1"/>
    <col min="9" max="21" width="11.5" customWidth="1"/>
    <col min="22" max="22" width="12.6640625" bestFit="1" customWidth="1"/>
  </cols>
  <sheetData>
    <row r="1" spans="1:23" x14ac:dyDescent="0.2">
      <c r="A1" t="s">
        <v>128</v>
      </c>
      <c r="F1" s="14"/>
      <c r="H1" s="14"/>
    </row>
    <row r="2" spans="1:23" x14ac:dyDescent="0.2">
      <c r="A2" s="1" t="s">
        <v>31</v>
      </c>
      <c r="B2" s="35" t="s">
        <v>32</v>
      </c>
    </row>
    <row r="3" spans="1:23" x14ac:dyDescent="0.2">
      <c r="A3" s="1" t="s">
        <v>38</v>
      </c>
      <c r="B3" s="33">
        <v>2.1917808219178099</v>
      </c>
      <c r="C3" t="s">
        <v>120</v>
      </c>
    </row>
    <row r="4" spans="1:23" ht="16" x14ac:dyDescent="0.2">
      <c r="A4" t="s">
        <v>25</v>
      </c>
      <c r="B4" s="34">
        <f>+'Ahorro GLP-GN'!B3</f>
        <v>167.42</v>
      </c>
      <c r="E4" s="122"/>
      <c r="F4" s="122" t="s">
        <v>121</v>
      </c>
      <c r="G4" s="122" t="s">
        <v>122</v>
      </c>
      <c r="H4" s="122" t="s">
        <v>126</v>
      </c>
      <c r="I4" s="122" t="s">
        <v>127</v>
      </c>
    </row>
    <row r="5" spans="1:23" x14ac:dyDescent="0.2">
      <c r="A5" t="s">
        <v>26</v>
      </c>
      <c r="B5" s="44">
        <f>+B7*1.1</f>
        <v>747753.60000000009</v>
      </c>
      <c r="C5" t="s">
        <v>36</v>
      </c>
      <c r="E5" s="121" t="s">
        <v>124</v>
      </c>
      <c r="F5" s="121">
        <f>+F6*F7</f>
        <v>60000</v>
      </c>
      <c r="G5" s="121">
        <f>+G6*G7</f>
        <v>6000</v>
      </c>
      <c r="H5" s="121">
        <f>+F5*0.7+G5*0.3</f>
        <v>43800</v>
      </c>
      <c r="I5" s="121">
        <f>+H5*1.1</f>
        <v>48180.000000000007</v>
      </c>
      <c r="J5" s="41"/>
    </row>
    <row r="6" spans="1:23" x14ac:dyDescent="0.2">
      <c r="A6" t="s">
        <v>27</v>
      </c>
      <c r="B6" s="46">
        <v>15.52</v>
      </c>
      <c r="C6" s="94">
        <v>42795</v>
      </c>
      <c r="E6" s="50" t="s">
        <v>125</v>
      </c>
      <c r="F6" s="50">
        <v>200</v>
      </c>
      <c r="G6" s="50">
        <v>200</v>
      </c>
      <c r="H6" s="50">
        <f>+F6*0.7+G6*0.3</f>
        <v>200</v>
      </c>
      <c r="I6" s="121">
        <f>+H6*1.1</f>
        <v>220.00000000000003</v>
      </c>
    </row>
    <row r="7" spans="1:23" x14ac:dyDescent="0.2">
      <c r="A7" t="s">
        <v>28</v>
      </c>
      <c r="B7" s="45">
        <f>+(F5*0.7+G5*0.3)*B6</f>
        <v>679776</v>
      </c>
      <c r="C7" t="s">
        <v>35</v>
      </c>
      <c r="E7" s="50" t="s">
        <v>123</v>
      </c>
      <c r="F7" s="50">
        <v>300</v>
      </c>
      <c r="G7" s="50">
        <v>30</v>
      </c>
      <c r="H7" s="50">
        <f>+F7*0.7+G7*0.3</f>
        <v>219</v>
      </c>
      <c r="I7" s="121">
        <f>+H7*1.1</f>
        <v>240.9</v>
      </c>
      <c r="J7" s="209"/>
    </row>
    <row r="8" spans="1:23" x14ac:dyDescent="0.2">
      <c r="B8" s="120"/>
    </row>
    <row r="9" spans="1:23" x14ac:dyDescent="0.2">
      <c r="B9">
        <v>0</v>
      </c>
      <c r="C9">
        <v>1</v>
      </c>
      <c r="D9">
        <f t="shared" ref="D9:V9" si="0">+C9+1</f>
        <v>2</v>
      </c>
      <c r="E9">
        <f t="shared" si="0"/>
        <v>3</v>
      </c>
      <c r="F9">
        <f t="shared" si="0"/>
        <v>4</v>
      </c>
      <c r="G9">
        <f t="shared" si="0"/>
        <v>5</v>
      </c>
      <c r="H9">
        <f t="shared" si="0"/>
        <v>6</v>
      </c>
      <c r="I9">
        <f t="shared" si="0"/>
        <v>7</v>
      </c>
      <c r="J9">
        <f t="shared" si="0"/>
        <v>8</v>
      </c>
      <c r="K9">
        <f t="shared" si="0"/>
        <v>9</v>
      </c>
      <c r="L9">
        <f t="shared" si="0"/>
        <v>10</v>
      </c>
      <c r="M9">
        <f t="shared" si="0"/>
        <v>11</v>
      </c>
      <c r="N9">
        <f t="shared" si="0"/>
        <v>12</v>
      </c>
      <c r="O9">
        <f t="shared" si="0"/>
        <v>13</v>
      </c>
      <c r="P9">
        <f t="shared" si="0"/>
        <v>14</v>
      </c>
      <c r="Q9">
        <f t="shared" si="0"/>
        <v>15</v>
      </c>
      <c r="R9">
        <f t="shared" si="0"/>
        <v>16</v>
      </c>
      <c r="S9">
        <f t="shared" si="0"/>
        <v>17</v>
      </c>
      <c r="T9">
        <f t="shared" si="0"/>
        <v>18</v>
      </c>
      <c r="U9">
        <f t="shared" si="0"/>
        <v>19</v>
      </c>
      <c r="V9">
        <f t="shared" si="0"/>
        <v>20</v>
      </c>
    </row>
    <row r="10" spans="1:23" x14ac:dyDescent="0.2">
      <c r="A10" t="s">
        <v>23</v>
      </c>
      <c r="B10" s="32">
        <v>0</v>
      </c>
      <c r="C10" s="32">
        <v>0.35</v>
      </c>
      <c r="D10" s="32">
        <v>0.45</v>
      </c>
      <c r="E10" s="32">
        <v>0.55000000000000004</v>
      </c>
      <c r="F10" s="32">
        <v>0.65</v>
      </c>
      <c r="G10" s="32">
        <v>0.75</v>
      </c>
      <c r="H10" s="32">
        <v>0.8</v>
      </c>
      <c r="I10" s="32">
        <v>0.85</v>
      </c>
      <c r="J10" s="32">
        <v>0.9</v>
      </c>
      <c r="K10" s="32">
        <v>0.95</v>
      </c>
      <c r="L10" s="32">
        <v>1</v>
      </c>
      <c r="M10" s="32">
        <v>1</v>
      </c>
      <c r="N10" s="32">
        <v>1</v>
      </c>
      <c r="O10" s="32">
        <v>1</v>
      </c>
      <c r="P10" s="32">
        <v>1</v>
      </c>
      <c r="Q10" s="32">
        <v>1</v>
      </c>
      <c r="R10" s="32">
        <v>1</v>
      </c>
      <c r="S10" s="32">
        <v>1</v>
      </c>
      <c r="T10" s="32">
        <v>1</v>
      </c>
      <c r="U10" s="32">
        <v>1</v>
      </c>
      <c r="V10" s="32">
        <v>1</v>
      </c>
    </row>
    <row r="11" spans="1:23" x14ac:dyDescent="0.2">
      <c r="A11" t="s">
        <v>118</v>
      </c>
    </row>
    <row r="12" spans="1:23" x14ac:dyDescent="0.2">
      <c r="A12" t="s">
        <v>39</v>
      </c>
      <c r="B12" s="34">
        <f>1922+912+4065+350</f>
        <v>7249</v>
      </c>
      <c r="C12" s="39"/>
    </row>
    <row r="13" spans="1:23" x14ac:dyDescent="0.2">
      <c r="A13" t="s">
        <v>68</v>
      </c>
      <c r="B13" s="34">
        <f>+E55</f>
        <v>25912</v>
      </c>
      <c r="C13" s="39"/>
    </row>
    <row r="14" spans="1:23" x14ac:dyDescent="0.2">
      <c r="A14" t="s">
        <v>29</v>
      </c>
      <c r="B14" s="34">
        <f>+B12+B13</f>
        <v>33161</v>
      </c>
      <c r="C14" s="14"/>
      <c r="D14" s="41"/>
      <c r="W14" s="119"/>
    </row>
    <row r="15" spans="1:23" x14ac:dyDescent="0.2">
      <c r="D15" s="39"/>
      <c r="E15" s="97"/>
    </row>
    <row r="17" spans="1:1" x14ac:dyDescent="0.2">
      <c r="A17" s="48" t="s">
        <v>47</v>
      </c>
    </row>
    <row r="19" spans="1:1" x14ac:dyDescent="0.2">
      <c r="A19" t="s">
        <v>44</v>
      </c>
    </row>
    <row r="21" spans="1:1" x14ac:dyDescent="0.2">
      <c r="A21" t="s">
        <v>40</v>
      </c>
    </row>
    <row r="22" spans="1:1" x14ac:dyDescent="0.2">
      <c r="A22" s="47" t="s">
        <v>210</v>
      </c>
    </row>
    <row r="23" spans="1:1" x14ac:dyDescent="0.2">
      <c r="A23" s="150"/>
    </row>
    <row r="25" spans="1:1" x14ac:dyDescent="0.2">
      <c r="A25" s="48" t="s">
        <v>41</v>
      </c>
    </row>
    <row r="26" spans="1:1" x14ac:dyDescent="0.2">
      <c r="A26" s="198" t="s">
        <v>209</v>
      </c>
    </row>
    <row r="27" spans="1:1" x14ac:dyDescent="0.2">
      <c r="A27" s="47" t="s">
        <v>166</v>
      </c>
    </row>
    <row r="28" spans="1:1" x14ac:dyDescent="0.2">
      <c r="A28" s="47" t="s">
        <v>46</v>
      </c>
    </row>
    <row r="30" spans="1:1" x14ac:dyDescent="0.2">
      <c r="A30" s="150"/>
    </row>
    <row r="31" spans="1:1" x14ac:dyDescent="0.2">
      <c r="A31" s="47"/>
    </row>
    <row r="32" spans="1:1" x14ac:dyDescent="0.2">
      <c r="A32" s="48" t="s">
        <v>42</v>
      </c>
    </row>
    <row r="33" spans="1:5" x14ac:dyDescent="0.2">
      <c r="A33" s="47" t="s">
        <v>43</v>
      </c>
    </row>
    <row r="34" spans="1:5" x14ac:dyDescent="0.2">
      <c r="A34" s="47" t="s">
        <v>45</v>
      </c>
    </row>
    <row r="35" spans="1:5" x14ac:dyDescent="0.2">
      <c r="A35" s="47" t="s">
        <v>159</v>
      </c>
    </row>
    <row r="36" spans="1:5" x14ac:dyDescent="0.2">
      <c r="A36" s="47"/>
    </row>
    <row r="37" spans="1:5" x14ac:dyDescent="0.2">
      <c r="A37" s="118"/>
      <c r="B37" s="12"/>
    </row>
    <row r="38" spans="1:5" x14ac:dyDescent="0.2">
      <c r="A38" s="111" t="s">
        <v>48</v>
      </c>
      <c r="B38" s="112">
        <v>42826</v>
      </c>
    </row>
    <row r="39" spans="1:5" x14ac:dyDescent="0.2">
      <c r="A39" s="116" t="s">
        <v>50</v>
      </c>
      <c r="B39" s="117">
        <v>1922</v>
      </c>
    </row>
    <row r="40" spans="1:5" x14ac:dyDescent="0.2">
      <c r="A40" s="113" t="s">
        <v>49</v>
      </c>
      <c r="B40" s="114">
        <v>912</v>
      </c>
    </row>
    <row r="41" spans="1:5" x14ac:dyDescent="0.2">
      <c r="A41" s="113" t="s">
        <v>51</v>
      </c>
      <c r="B41" s="114">
        <v>4065</v>
      </c>
    </row>
    <row r="42" spans="1:5" x14ac:dyDescent="0.2">
      <c r="A42" s="113" t="s">
        <v>52</v>
      </c>
      <c r="B42" s="114">
        <v>350</v>
      </c>
    </row>
    <row r="43" spans="1:5" x14ac:dyDescent="0.2">
      <c r="A43" s="113" t="s">
        <v>119</v>
      </c>
      <c r="B43" s="115">
        <f>+B39+B40+B41+B42</f>
        <v>7249</v>
      </c>
    </row>
    <row r="44" spans="1:5" x14ac:dyDescent="0.2">
      <c r="A44" s="49"/>
    </row>
    <row r="45" spans="1:5" ht="16" x14ac:dyDescent="0.2">
      <c r="A45" s="107" t="s">
        <v>53</v>
      </c>
      <c r="B45" s="50" t="s">
        <v>54</v>
      </c>
      <c r="C45" s="50"/>
      <c r="D45" s="36" t="s">
        <v>55</v>
      </c>
      <c r="E45" s="36" t="s">
        <v>56</v>
      </c>
    </row>
    <row r="46" spans="1:5" x14ac:dyDescent="0.2">
      <c r="A46" s="98" t="s">
        <v>57</v>
      </c>
      <c r="B46" s="98"/>
      <c r="C46" s="98"/>
      <c r="D46" s="98"/>
      <c r="E46" s="99"/>
    </row>
    <row r="47" spans="1:5" x14ac:dyDescent="0.2">
      <c r="A47" s="100" t="s">
        <v>58</v>
      </c>
      <c r="B47" s="101">
        <v>15</v>
      </c>
      <c r="C47" s="101" t="s">
        <v>59</v>
      </c>
      <c r="D47" s="102">
        <v>570.4</v>
      </c>
      <c r="E47" s="102">
        <f>+D47*B47</f>
        <v>8556</v>
      </c>
    </row>
    <row r="48" spans="1:5" x14ac:dyDescent="0.2">
      <c r="A48" s="100" t="s">
        <v>60</v>
      </c>
      <c r="B48" s="103">
        <v>1</v>
      </c>
      <c r="C48" s="103" t="s">
        <v>61</v>
      </c>
      <c r="D48" s="102">
        <v>2672</v>
      </c>
      <c r="E48" s="102">
        <f>+D48*B48</f>
        <v>2672</v>
      </c>
    </row>
    <row r="49" spans="1:6" x14ac:dyDescent="0.2">
      <c r="A49" s="100" t="s">
        <v>62</v>
      </c>
      <c r="B49" s="103">
        <v>2</v>
      </c>
      <c r="C49" s="103" t="s">
        <v>61</v>
      </c>
      <c r="D49" s="102">
        <v>472</v>
      </c>
      <c r="E49" s="102">
        <f>+D49*B49</f>
        <v>944</v>
      </c>
    </row>
    <row r="50" spans="1:6" x14ac:dyDescent="0.2">
      <c r="A50" s="98" t="s">
        <v>63</v>
      </c>
      <c r="B50" s="103"/>
      <c r="C50" s="103"/>
      <c r="D50" s="102"/>
      <c r="E50" s="106"/>
      <c r="F50" s="41"/>
    </row>
    <row r="51" spans="1:6" x14ac:dyDescent="0.2">
      <c r="A51" s="100" t="s">
        <v>64</v>
      </c>
      <c r="B51" s="104">
        <v>0.4</v>
      </c>
      <c r="C51" s="103" t="s">
        <v>33</v>
      </c>
      <c r="D51" s="102"/>
      <c r="E51" s="102">
        <v>5000</v>
      </c>
      <c r="F51" s="39"/>
    </row>
    <row r="52" spans="1:6" x14ac:dyDescent="0.2">
      <c r="A52" s="98" t="s">
        <v>69</v>
      </c>
      <c r="B52" s="103"/>
      <c r="C52" s="103"/>
      <c r="D52" s="102"/>
      <c r="E52" s="102"/>
    </row>
    <row r="53" spans="1:6" x14ac:dyDescent="0.2">
      <c r="A53" s="100" t="s">
        <v>66</v>
      </c>
      <c r="B53" s="103">
        <v>1</v>
      </c>
      <c r="C53" s="103" t="s">
        <v>61</v>
      </c>
      <c r="D53" s="102">
        <v>7000</v>
      </c>
      <c r="E53" s="102">
        <f>+B53*D53</f>
        <v>7000</v>
      </c>
    </row>
    <row r="54" spans="1:6" x14ac:dyDescent="0.2">
      <c r="A54" s="100" t="s">
        <v>67</v>
      </c>
      <c r="B54" s="100"/>
      <c r="C54" s="100">
        <v>6</v>
      </c>
      <c r="D54" s="105">
        <v>290</v>
      </c>
      <c r="E54" s="105">
        <f>+C54*D54</f>
        <v>1740</v>
      </c>
    </row>
    <row r="55" spans="1:6" x14ac:dyDescent="0.2">
      <c r="A55" s="100" t="s">
        <v>119</v>
      </c>
      <c r="B55" s="100"/>
      <c r="C55" s="100"/>
      <c r="D55" s="100"/>
      <c r="E55" s="105">
        <f>+E54+E53+E51+E47+E48+E49</f>
        <v>25912</v>
      </c>
    </row>
    <row r="57" spans="1:6" x14ac:dyDescent="0.2">
      <c r="A57" s="108" t="s">
        <v>65</v>
      </c>
      <c r="B57" s="110">
        <v>1</v>
      </c>
      <c r="C57" s="110" t="s">
        <v>61</v>
      </c>
      <c r="D57" s="109">
        <v>6000</v>
      </c>
      <c r="E57" s="109">
        <f>+B57*D57</f>
        <v>6000</v>
      </c>
    </row>
    <row r="58" spans="1:6" x14ac:dyDescent="0.2">
      <c r="A58" s="30" t="s">
        <v>70</v>
      </c>
      <c r="B58" s="30"/>
      <c r="C58" s="30"/>
      <c r="D58" s="30"/>
      <c r="E58" s="30"/>
    </row>
  </sheetData>
  <dataValidations count="1">
    <dataValidation type="list" allowBlank="1" showInputMessage="1" showErrorMessage="1" sqref="B2" xr:uid="{00000000-0002-0000-0100-000000000000}">
      <formula1>"SI,NO"</formula1>
    </dataValidation>
  </dataValidations>
  <pageMargins left="0.7" right="0.7" top="0.75" bottom="0.75" header="0.3" footer="0.3"/>
  <pageSetup paperSize="9" scale="2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H55"/>
  <sheetViews>
    <sheetView topLeftCell="A4" zoomScale="70" zoomScaleNormal="70" workbookViewId="0">
      <selection activeCell="A9" sqref="A9"/>
    </sheetView>
  </sheetViews>
  <sheetFormatPr baseColWidth="10" defaultRowHeight="15" x14ac:dyDescent="0.2"/>
  <cols>
    <col min="1" max="1" width="32.83203125" customWidth="1"/>
    <col min="2" max="2" width="18.83203125" customWidth="1"/>
    <col min="3" max="3" width="19.1640625" customWidth="1"/>
    <col min="4" max="4" width="17.5" customWidth="1"/>
    <col min="6" max="6" width="14.83203125" customWidth="1"/>
    <col min="8" max="8" width="17.5" customWidth="1"/>
  </cols>
  <sheetData>
    <row r="3" spans="1:4" x14ac:dyDescent="0.2">
      <c r="A3" s="221">
        <v>2018</v>
      </c>
      <c r="B3" s="220" t="s">
        <v>130</v>
      </c>
      <c r="C3" s="220"/>
      <c r="D3" s="220"/>
    </row>
    <row r="4" spans="1:4" ht="16" x14ac:dyDescent="0.2">
      <c r="A4" s="222"/>
      <c r="B4" s="125" t="s">
        <v>131</v>
      </c>
      <c r="C4" s="125" t="s">
        <v>207</v>
      </c>
      <c r="D4" s="125" t="s">
        <v>132</v>
      </c>
    </row>
    <row r="5" spans="1:4" ht="16" x14ac:dyDescent="0.2">
      <c r="A5" s="223"/>
      <c r="B5" s="126" t="s">
        <v>147</v>
      </c>
      <c r="C5" s="126" t="s">
        <v>148</v>
      </c>
      <c r="D5" s="126" t="s">
        <v>149</v>
      </c>
    </row>
    <row r="6" spans="1:4" x14ac:dyDescent="0.2">
      <c r="A6" s="50" t="s">
        <v>142</v>
      </c>
      <c r="B6" s="50">
        <v>4.5999999999999996</v>
      </c>
      <c r="C6" s="127">
        <f t="shared" ref="C6:C11" si="0">+D6*$C$12</f>
        <v>102.29710000000001</v>
      </c>
      <c r="D6" s="128">
        <v>0.79</v>
      </c>
    </row>
    <row r="7" spans="1:4" x14ac:dyDescent="0.2">
      <c r="A7" s="50" t="s">
        <v>137</v>
      </c>
      <c r="B7" s="50">
        <v>6.1</v>
      </c>
      <c r="C7" s="127">
        <f t="shared" si="0"/>
        <v>16.8337</v>
      </c>
      <c r="D7" s="128">
        <v>0.13</v>
      </c>
    </row>
    <row r="8" spans="1:4" x14ac:dyDescent="0.2">
      <c r="A8" s="50" t="s">
        <v>138</v>
      </c>
      <c r="B8" s="50">
        <v>7.8</v>
      </c>
      <c r="C8" s="127">
        <f t="shared" si="0"/>
        <v>9.9707300000000014</v>
      </c>
      <c r="D8" s="128">
        <v>7.6999999999999999E-2</v>
      </c>
    </row>
    <row r="9" spans="1:4" x14ac:dyDescent="0.2">
      <c r="A9" s="50" t="s">
        <v>139</v>
      </c>
      <c r="B9" s="50">
        <v>10.6</v>
      </c>
      <c r="C9" s="127">
        <f t="shared" si="0"/>
        <v>0.38847000000000004</v>
      </c>
      <c r="D9" s="128">
        <v>3.0000000000000001E-3</v>
      </c>
    </row>
    <row r="10" spans="1:4" x14ac:dyDescent="0.2">
      <c r="A10" s="130" t="s">
        <v>119</v>
      </c>
      <c r="B10" s="131">
        <f>+SUMPRODUCT(B6:B9,D6:D9)</f>
        <v>5.0593999999999992</v>
      </c>
      <c r="C10" s="148">
        <f t="shared" si="0"/>
        <v>0</v>
      </c>
      <c r="D10" s="130"/>
    </row>
    <row r="11" spans="1:4" x14ac:dyDescent="0.2">
      <c r="A11" s="50" t="s">
        <v>140</v>
      </c>
      <c r="B11" s="50">
        <v>15</v>
      </c>
      <c r="C11" s="127">
        <f t="shared" si="0"/>
        <v>2.5898000000000003</v>
      </c>
      <c r="D11" s="128">
        <v>0.02</v>
      </c>
    </row>
    <row r="12" spans="1:4" x14ac:dyDescent="0.2">
      <c r="A12" s="50" t="s">
        <v>141</v>
      </c>
      <c r="B12" s="50">
        <v>5.4</v>
      </c>
      <c r="C12" s="127">
        <f>+C23</f>
        <v>129.49</v>
      </c>
      <c r="D12" s="50"/>
    </row>
    <row r="14" spans="1:4" x14ac:dyDescent="0.2">
      <c r="A14" s="221">
        <v>2018</v>
      </c>
      <c r="B14" s="220" t="s">
        <v>133</v>
      </c>
      <c r="C14" s="220"/>
      <c r="D14" s="220"/>
    </row>
    <row r="15" spans="1:4" ht="16" x14ac:dyDescent="0.2">
      <c r="A15" s="222"/>
      <c r="B15" s="125" t="s">
        <v>146</v>
      </c>
      <c r="C15" s="125" t="s">
        <v>207</v>
      </c>
      <c r="D15" s="125" t="s">
        <v>132</v>
      </c>
    </row>
    <row r="16" spans="1:4" ht="16" x14ac:dyDescent="0.2">
      <c r="A16" s="223"/>
      <c r="B16" s="126" t="s">
        <v>147</v>
      </c>
      <c r="C16" s="126" t="s">
        <v>148</v>
      </c>
      <c r="D16" s="126" t="s">
        <v>149</v>
      </c>
    </row>
    <row r="17" spans="1:5" x14ac:dyDescent="0.2">
      <c r="A17" s="50" t="s">
        <v>143</v>
      </c>
      <c r="B17" s="194">
        <f>+C55</f>
        <v>4.126850833333334</v>
      </c>
      <c r="C17" s="127">
        <f t="shared" ref="C17:C22" si="1">+$C$23*D17</f>
        <v>24.603100000000001</v>
      </c>
      <c r="D17" s="128">
        <v>0.19</v>
      </c>
    </row>
    <row r="18" spans="1:5" x14ac:dyDescent="0.2">
      <c r="A18" s="50" t="s">
        <v>144</v>
      </c>
      <c r="B18" s="50">
        <v>0</v>
      </c>
      <c r="C18" s="127">
        <f t="shared" si="1"/>
        <v>5.1796000000000006</v>
      </c>
      <c r="D18" s="128">
        <v>0.04</v>
      </c>
    </row>
    <row r="19" spans="1:5" x14ac:dyDescent="0.2">
      <c r="A19" s="50" t="s">
        <v>145</v>
      </c>
      <c r="B19" s="194">
        <f>+C55</f>
        <v>4.126850833333334</v>
      </c>
      <c r="C19" s="127">
        <f t="shared" si="1"/>
        <v>5.1796000000000006</v>
      </c>
      <c r="D19" s="128">
        <v>0.04</v>
      </c>
    </row>
    <row r="20" spans="1:5" x14ac:dyDescent="0.2">
      <c r="A20" s="50" t="s">
        <v>135</v>
      </c>
      <c r="B20" s="194">
        <f>+F55</f>
        <v>4.2593333333333332</v>
      </c>
      <c r="C20" s="127">
        <f t="shared" si="1"/>
        <v>33.667400000000001</v>
      </c>
      <c r="D20" s="128">
        <v>0.26</v>
      </c>
    </row>
    <row r="21" spans="1:5" x14ac:dyDescent="0.2">
      <c r="A21" s="50" t="s">
        <v>136</v>
      </c>
      <c r="B21" s="194">
        <f>+E55</f>
        <v>4.1191666666666666</v>
      </c>
      <c r="C21" s="127">
        <f t="shared" si="1"/>
        <v>53.090899999999998</v>
      </c>
      <c r="D21" s="128">
        <v>0.41</v>
      </c>
    </row>
    <row r="22" spans="1:5" x14ac:dyDescent="0.2">
      <c r="A22" s="50" t="s">
        <v>134</v>
      </c>
      <c r="B22" s="194">
        <f>+D55</f>
        <v>3.6484166666666664</v>
      </c>
      <c r="C22" s="127">
        <f t="shared" si="1"/>
        <v>6.4745000000000008</v>
      </c>
      <c r="D22" s="128">
        <v>0.05</v>
      </c>
    </row>
    <row r="23" spans="1:5" x14ac:dyDescent="0.2">
      <c r="A23" s="130" t="s">
        <v>119</v>
      </c>
      <c r="B23" s="131">
        <f>+SUMPRODUCT(B17:B22,D17:D22)</f>
        <v>3.9278815250000001</v>
      </c>
      <c r="C23" s="130">
        <v>129.49</v>
      </c>
      <c r="D23" s="130"/>
    </row>
    <row r="26" spans="1:5" ht="16" x14ac:dyDescent="0.2">
      <c r="A26" s="50"/>
      <c r="B26" s="126" t="s">
        <v>147</v>
      </c>
      <c r="C26" s="126" t="s">
        <v>149</v>
      </c>
    </row>
    <row r="27" spans="1:5" ht="23.25" customHeight="1" x14ac:dyDescent="0.2">
      <c r="A27" s="50" t="s">
        <v>150</v>
      </c>
      <c r="B27" s="139">
        <f>+B10-B23</f>
        <v>1.1315184749999991</v>
      </c>
      <c r="C27" s="138">
        <f>+B10/B23-1</f>
        <v>0.28807347365193237</v>
      </c>
    </row>
    <row r="29" spans="1:5" ht="32" x14ac:dyDescent="0.2">
      <c r="A29" s="136"/>
      <c r="B29" s="126" t="s">
        <v>161</v>
      </c>
      <c r="C29" s="126" t="s">
        <v>160</v>
      </c>
      <c r="D29" s="126" t="s">
        <v>162</v>
      </c>
      <c r="E29" s="126" t="s">
        <v>149</v>
      </c>
    </row>
    <row r="30" spans="1:5" x14ac:dyDescent="0.2">
      <c r="A30" s="136" t="s">
        <v>165</v>
      </c>
      <c r="B30" s="149">
        <f>+Tarifas!B84</f>
        <v>5.2938660000000004</v>
      </c>
      <c r="C30" s="129">
        <f>+E30*B30+B30</f>
        <v>6.8188883676678609</v>
      </c>
      <c r="D30" s="131">
        <f>+C30-B30</f>
        <v>1.5250223676678605</v>
      </c>
      <c r="E30" s="138">
        <f>+C27</f>
        <v>0.28807347365193237</v>
      </c>
    </row>
    <row r="33" spans="1:8" x14ac:dyDescent="0.2">
      <c r="A33" t="s">
        <v>151</v>
      </c>
    </row>
    <row r="34" spans="1:8" x14ac:dyDescent="0.2">
      <c r="A34" t="s">
        <v>152</v>
      </c>
    </row>
    <row r="39" spans="1:8" x14ac:dyDescent="0.2">
      <c r="A39" t="s">
        <v>206</v>
      </c>
    </row>
    <row r="41" spans="1:8" ht="52" thickBot="1" x14ac:dyDescent="0.25">
      <c r="A41" s="174" t="s">
        <v>199</v>
      </c>
      <c r="B41" s="174" t="s">
        <v>200</v>
      </c>
      <c r="C41" s="174" t="s">
        <v>201</v>
      </c>
      <c r="D41" s="174" t="s">
        <v>134</v>
      </c>
      <c r="E41" s="174" t="s">
        <v>136</v>
      </c>
      <c r="F41" s="174" t="s">
        <v>202</v>
      </c>
      <c r="G41" s="174" t="s">
        <v>203</v>
      </c>
      <c r="H41" s="174" t="s">
        <v>204</v>
      </c>
    </row>
    <row r="42" spans="1:8" ht="17" thickBot="1" x14ac:dyDescent="0.25">
      <c r="A42" s="175">
        <v>2018</v>
      </c>
      <c r="B42" s="176">
        <v>1</v>
      </c>
      <c r="C42" s="177">
        <v>3.76</v>
      </c>
      <c r="D42" s="177">
        <v>4.25</v>
      </c>
      <c r="E42" s="178">
        <v>4.8899999999999997</v>
      </c>
      <c r="F42" s="178">
        <v>3.97</v>
      </c>
      <c r="G42" s="178">
        <v>4.49</v>
      </c>
      <c r="H42" s="179">
        <v>4.3600000000000003</v>
      </c>
    </row>
    <row r="43" spans="1:8" ht="17" thickBot="1" x14ac:dyDescent="0.25">
      <c r="A43" s="180">
        <v>2018</v>
      </c>
      <c r="B43" s="181">
        <v>2</v>
      </c>
      <c r="C43" s="182">
        <v>3.67</v>
      </c>
      <c r="D43" s="182">
        <v>4.03</v>
      </c>
      <c r="E43" s="183">
        <v>4.88</v>
      </c>
      <c r="F43" s="183">
        <v>4.03</v>
      </c>
      <c r="G43" s="183">
        <v>4.42</v>
      </c>
      <c r="H43" s="184">
        <v>4.33</v>
      </c>
    </row>
    <row r="44" spans="1:8" ht="17" thickBot="1" x14ac:dyDescent="0.25">
      <c r="A44" s="185">
        <v>2018</v>
      </c>
      <c r="B44" s="186">
        <v>3</v>
      </c>
      <c r="C44" s="183">
        <v>3.89</v>
      </c>
      <c r="D44" s="183">
        <v>4.17</v>
      </c>
      <c r="E44" s="182">
        <v>4.97</v>
      </c>
      <c r="F44" s="182">
        <v>3.96</v>
      </c>
      <c r="G44" s="182">
        <v>4.4000000000000004</v>
      </c>
      <c r="H44" s="187">
        <v>4.32</v>
      </c>
    </row>
    <row r="45" spans="1:8" ht="17" thickBot="1" x14ac:dyDescent="0.25">
      <c r="A45" s="180">
        <v>2018</v>
      </c>
      <c r="B45" s="181">
        <v>4</v>
      </c>
      <c r="C45" s="182">
        <v>4.42</v>
      </c>
      <c r="D45" s="182">
        <v>4.03</v>
      </c>
      <c r="E45" s="183">
        <v>4.4400000000000004</v>
      </c>
      <c r="F45" s="183">
        <v>3.98</v>
      </c>
      <c r="G45" s="183">
        <v>4.45</v>
      </c>
      <c r="H45" s="184">
        <v>4.22</v>
      </c>
    </row>
    <row r="46" spans="1:8" ht="17" thickBot="1" x14ac:dyDescent="0.25">
      <c r="A46" s="185">
        <v>2018</v>
      </c>
      <c r="B46" s="186">
        <v>5</v>
      </c>
      <c r="C46" s="183">
        <v>4.45</v>
      </c>
      <c r="D46" s="183">
        <v>3.87</v>
      </c>
      <c r="E46" s="182">
        <v>4.26</v>
      </c>
      <c r="F46" s="182">
        <v>4.72</v>
      </c>
      <c r="G46" s="182">
        <v>4.5</v>
      </c>
      <c r="H46" s="187">
        <v>4.4800000000000004</v>
      </c>
    </row>
    <row r="47" spans="1:8" ht="17" thickBot="1" x14ac:dyDescent="0.25">
      <c r="A47" s="180">
        <v>2018</v>
      </c>
      <c r="B47" s="181">
        <v>6</v>
      </c>
      <c r="C47" s="182">
        <v>4.53</v>
      </c>
      <c r="D47" s="182">
        <v>3.91</v>
      </c>
      <c r="E47" s="183">
        <v>4.41</v>
      </c>
      <c r="F47" s="183">
        <v>4.78</v>
      </c>
      <c r="G47" s="182">
        <v>4.5</v>
      </c>
      <c r="H47" s="184">
        <v>4.57</v>
      </c>
    </row>
    <row r="48" spans="1:8" ht="17" thickBot="1" x14ac:dyDescent="0.25">
      <c r="A48" s="185">
        <v>2018</v>
      </c>
      <c r="B48" s="186">
        <v>7</v>
      </c>
      <c r="C48" s="183">
        <v>4.5221099999999996</v>
      </c>
      <c r="D48" s="183">
        <v>3.35</v>
      </c>
      <c r="E48" s="182">
        <v>4.07</v>
      </c>
      <c r="F48" s="182">
        <v>4.7670000000000003</v>
      </c>
      <c r="G48" s="182">
        <v>4.5</v>
      </c>
      <c r="H48" s="187">
        <v>4.43</v>
      </c>
    </row>
    <row r="49" spans="1:8" ht="17" thickBot="1" x14ac:dyDescent="0.25">
      <c r="A49" s="180">
        <v>2018</v>
      </c>
      <c r="B49" s="181">
        <v>8</v>
      </c>
      <c r="C49" s="182">
        <v>4.43</v>
      </c>
      <c r="D49" s="182">
        <v>2.8109999999999999</v>
      </c>
      <c r="E49" s="183">
        <v>3.44</v>
      </c>
      <c r="F49" s="183">
        <v>4.78</v>
      </c>
      <c r="G49" s="182">
        <v>4.5</v>
      </c>
      <c r="H49" s="184">
        <v>4.1790000000000003</v>
      </c>
    </row>
    <row r="50" spans="1:8" ht="17" thickBot="1" x14ac:dyDescent="0.25">
      <c r="A50" s="185">
        <v>2018</v>
      </c>
      <c r="B50" s="186">
        <v>9</v>
      </c>
      <c r="C50" s="183">
        <v>4.2270000000000003</v>
      </c>
      <c r="D50" s="183">
        <v>2.9780000000000002</v>
      </c>
      <c r="E50" s="182">
        <v>3.5449999999999999</v>
      </c>
      <c r="F50" s="182">
        <v>4.57</v>
      </c>
      <c r="G50" s="182">
        <v>4.5</v>
      </c>
      <c r="H50" s="187">
        <v>4.0880000000000001</v>
      </c>
    </row>
    <row r="51" spans="1:8" ht="17" thickBot="1" x14ac:dyDescent="0.25">
      <c r="A51" s="180">
        <v>2018</v>
      </c>
      <c r="B51" s="181">
        <v>10</v>
      </c>
      <c r="C51" s="183">
        <v>3.92</v>
      </c>
      <c r="D51" s="182">
        <v>3.3759999999999999</v>
      </c>
      <c r="E51" s="183">
        <v>3.5950000000000002</v>
      </c>
      <c r="F51" s="183">
        <v>3.94</v>
      </c>
      <c r="G51" s="183">
        <v>3.3690000000000002</v>
      </c>
      <c r="H51" s="184">
        <v>3.8079999999999998</v>
      </c>
    </row>
    <row r="52" spans="1:8" ht="17" thickBot="1" x14ac:dyDescent="0.25">
      <c r="A52" s="185">
        <v>2018</v>
      </c>
      <c r="B52" s="186">
        <v>11</v>
      </c>
      <c r="C52" s="182">
        <v>3.827</v>
      </c>
      <c r="D52" s="183">
        <v>3.367</v>
      </c>
      <c r="E52" s="182">
        <v>3.53</v>
      </c>
      <c r="F52" s="182">
        <v>3.8980000000000001</v>
      </c>
      <c r="G52" s="182">
        <v>4</v>
      </c>
      <c r="H52" s="187">
        <v>3.7490000000000001</v>
      </c>
    </row>
    <row r="53" spans="1:8" ht="17" thickBot="1" x14ac:dyDescent="0.25">
      <c r="A53" s="188">
        <v>2018</v>
      </c>
      <c r="B53" s="189">
        <v>12</v>
      </c>
      <c r="C53" s="190">
        <v>3.8761000000000001</v>
      </c>
      <c r="D53" s="191">
        <v>3.6389999999999998</v>
      </c>
      <c r="E53" s="190">
        <v>3.4</v>
      </c>
      <c r="F53" s="190">
        <v>3.7170000000000001</v>
      </c>
      <c r="G53" s="190">
        <v>4</v>
      </c>
      <c r="H53" s="192">
        <v>3.6269999999999998</v>
      </c>
    </row>
    <row r="55" spans="1:8" x14ac:dyDescent="0.2">
      <c r="A55" t="s">
        <v>205</v>
      </c>
      <c r="C55" s="193">
        <f t="shared" ref="C55:H55" si="2">+AVERAGE(C42:C53)</f>
        <v>4.126850833333334</v>
      </c>
      <c r="D55" s="193">
        <f t="shared" si="2"/>
        <v>3.6484166666666664</v>
      </c>
      <c r="E55" s="193">
        <f t="shared" si="2"/>
        <v>4.1191666666666666</v>
      </c>
      <c r="F55" s="193">
        <f t="shared" si="2"/>
        <v>4.2593333333333332</v>
      </c>
      <c r="G55" s="193">
        <f t="shared" si="2"/>
        <v>4.3024166666666668</v>
      </c>
      <c r="H55" s="193">
        <f t="shared" si="2"/>
        <v>4.180083333333334</v>
      </c>
    </row>
  </sheetData>
  <mergeCells count="4">
    <mergeCell ref="B3:D3"/>
    <mergeCell ref="B14:D14"/>
    <mergeCell ref="A3:A5"/>
    <mergeCell ref="A14:A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24"/>
  <sheetViews>
    <sheetView showGridLines="0" workbookViewId="0">
      <selection activeCell="A24" sqref="A24"/>
    </sheetView>
  </sheetViews>
  <sheetFormatPr baseColWidth="10" defaultRowHeight="15" x14ac:dyDescent="0.2"/>
  <cols>
    <col min="1" max="1" width="29" customWidth="1"/>
    <col min="2" max="2" width="18.33203125" bestFit="1" customWidth="1"/>
    <col min="3" max="3" width="16.6640625" bestFit="1" customWidth="1"/>
    <col min="4" max="4" width="18.83203125" customWidth="1"/>
    <col min="5" max="5" width="16.5" customWidth="1"/>
    <col min="6" max="6" width="12.5" bestFit="1" customWidth="1"/>
    <col min="7" max="7" width="14" customWidth="1"/>
    <col min="8" max="8" width="16.33203125" customWidth="1"/>
    <col min="9" max="22" width="12.5" bestFit="1" customWidth="1"/>
  </cols>
  <sheetData>
    <row r="1" spans="1:10" ht="16" x14ac:dyDescent="0.2">
      <c r="A1" s="15" t="s">
        <v>11</v>
      </c>
      <c r="D1" s="15" t="s">
        <v>12</v>
      </c>
      <c r="E1" t="s">
        <v>198</v>
      </c>
      <c r="G1" s="15" t="s">
        <v>13</v>
      </c>
    </row>
    <row r="2" spans="1:10" ht="11.25" customHeight="1" x14ac:dyDescent="0.2">
      <c r="A2" s="17"/>
      <c r="B2" t="s">
        <v>168</v>
      </c>
      <c r="C2" t="s">
        <v>113</v>
      </c>
      <c r="D2" s="17"/>
      <c r="E2" t="s">
        <v>74</v>
      </c>
    </row>
    <row r="3" spans="1:10" ht="24" customHeight="1" x14ac:dyDescent="0.2">
      <c r="A3" s="27" t="s">
        <v>72</v>
      </c>
      <c r="B3" s="144">
        <v>167.42</v>
      </c>
      <c r="C3" s="143">
        <v>39</v>
      </c>
      <c r="D3" s="18" t="s">
        <v>14</v>
      </c>
      <c r="E3" s="19">
        <f>+Tarifas!G82</f>
        <v>203.93625900000001</v>
      </c>
      <c r="G3" s="18" t="s">
        <v>15</v>
      </c>
      <c r="H3" s="141">
        <v>800</v>
      </c>
      <c r="I3" s="20" t="s">
        <v>16</v>
      </c>
      <c r="J3" s="20" t="s">
        <v>73</v>
      </c>
    </row>
    <row r="4" spans="1:10" ht="24" customHeight="1" x14ac:dyDescent="0.2">
      <c r="A4" s="18" t="s">
        <v>17</v>
      </c>
      <c r="B4" s="21">
        <f>+B3/B5</f>
        <v>13.086041391566251</v>
      </c>
      <c r="C4" s="21">
        <f>+C3/C5</f>
        <v>3.0483551204819248</v>
      </c>
      <c r="D4" s="18" t="s">
        <v>18</v>
      </c>
      <c r="E4" s="22">
        <f>+Tarifas!H82</f>
        <v>7.9159289999999993</v>
      </c>
      <c r="G4" s="23" t="s">
        <v>19</v>
      </c>
      <c r="H4" s="24">
        <f>+'C'!C4</f>
        <v>2000</v>
      </c>
    </row>
    <row r="5" spans="1:10" ht="24" customHeight="1" x14ac:dyDescent="0.2">
      <c r="A5" s="17" t="s">
        <v>71</v>
      </c>
      <c r="B5" s="142">
        <v>12.793784995048201</v>
      </c>
      <c r="C5" s="142">
        <v>12.793784995048201</v>
      </c>
      <c r="D5" s="18"/>
      <c r="E5" s="19"/>
    </row>
    <row r="6" spans="1:10" ht="24" customHeight="1" x14ac:dyDescent="0.2">
      <c r="A6" s="92" t="s">
        <v>163</v>
      </c>
      <c r="B6" s="151">
        <f>+H3/B5</f>
        <v>62.530361445783072</v>
      </c>
      <c r="C6" s="151"/>
      <c r="D6" s="146"/>
      <c r="E6" s="147"/>
      <c r="F6" s="16"/>
      <c r="G6" s="16"/>
    </row>
    <row r="7" spans="1:10" ht="24" customHeight="1" x14ac:dyDescent="0.2">
      <c r="A7" s="92" t="s">
        <v>164</v>
      </c>
      <c r="B7" s="151">
        <f>+B6-C7</f>
        <v>44.530361445783072</v>
      </c>
      <c r="C7" s="152">
        <v>18</v>
      </c>
      <c r="D7" s="146"/>
      <c r="E7" s="147"/>
      <c r="F7" s="16"/>
      <c r="G7" s="16"/>
      <c r="H7" s="145"/>
    </row>
    <row r="8" spans="1:10" ht="24" customHeight="1" x14ac:dyDescent="0.2">
      <c r="A8" s="152" t="s">
        <v>167</v>
      </c>
      <c r="B8" s="153">
        <f>+B6*B3</f>
        <v>10468.833113253002</v>
      </c>
      <c r="C8" s="154">
        <f>+C7*C3+B7*B3</f>
        <v>8157.2731132530016</v>
      </c>
      <c r="D8" s="18"/>
      <c r="E8" s="19"/>
      <c r="G8" s="16"/>
      <c r="H8" s="40"/>
    </row>
    <row r="9" spans="1:10" ht="24" customHeight="1" x14ac:dyDescent="0.2">
      <c r="B9" s="145"/>
      <c r="C9" s="93"/>
      <c r="D9" s="18"/>
      <c r="E9" s="19"/>
      <c r="G9" s="16"/>
      <c r="H9" s="40"/>
    </row>
    <row r="10" spans="1:10" ht="25.5" customHeight="1" x14ac:dyDescent="0.2">
      <c r="A10" s="133" t="s">
        <v>20</v>
      </c>
      <c r="B10" s="134" t="s">
        <v>170</v>
      </c>
      <c r="C10" s="134" t="s">
        <v>157</v>
      </c>
      <c r="D10" s="134"/>
      <c r="E10" s="134" t="s">
        <v>117</v>
      </c>
    </row>
    <row r="11" spans="1:10" ht="36" customHeight="1" x14ac:dyDescent="0.2">
      <c r="A11" s="25" t="s">
        <v>21</v>
      </c>
      <c r="B11" s="26">
        <f>+H3*H4*B4</f>
        <v>20937666.226506002</v>
      </c>
      <c r="C11" s="26">
        <f>H4*(+B8*0.38+C8*0.62)</f>
        <v>18071331.826506004</v>
      </c>
      <c r="D11" s="145"/>
    </row>
    <row r="12" spans="1:10" ht="36" customHeight="1" x14ac:dyDescent="0.2">
      <c r="A12" s="25" t="s">
        <v>22</v>
      </c>
      <c r="B12" s="26">
        <f>+(H3*H4*E4)+(E3)*6</f>
        <v>12666710.017553998</v>
      </c>
      <c r="C12" s="26">
        <f>+B12</f>
        <v>12666710.017553998</v>
      </c>
      <c r="D12" s="41"/>
      <c r="E12" s="135"/>
    </row>
    <row r="13" spans="1:10" ht="36" customHeight="1" x14ac:dyDescent="0.2">
      <c r="A13" s="28" t="s">
        <v>169</v>
      </c>
      <c r="B13" s="29">
        <f>+B11-B12</f>
        <v>8270956.2089520041</v>
      </c>
      <c r="C13" s="29">
        <f>+C11-C12</f>
        <v>5404621.8089520056</v>
      </c>
      <c r="D13" s="41"/>
      <c r="E13" s="29">
        <f>+B11-C11</f>
        <v>2866334.3999999985</v>
      </c>
    </row>
    <row r="14" spans="1:10" ht="36" customHeight="1" x14ac:dyDescent="0.2">
      <c r="A14" s="28" t="s">
        <v>24</v>
      </c>
      <c r="B14" s="29">
        <f>+B13/H4</f>
        <v>4135.478104476002</v>
      </c>
      <c r="C14" s="29">
        <f>+C13/H4</f>
        <v>2702.3109044760026</v>
      </c>
      <c r="D14" s="41"/>
      <c r="E14" s="29">
        <f>+E13/H4</f>
        <v>1433.1671999999992</v>
      </c>
    </row>
    <row r="15" spans="1:10" x14ac:dyDescent="0.2">
      <c r="B15" s="3"/>
      <c r="C15" s="3"/>
      <c r="D15" s="3"/>
      <c r="E15" s="3"/>
    </row>
    <row r="20" spans="1:1" x14ac:dyDescent="0.2">
      <c r="A20" s="94">
        <v>42826</v>
      </c>
    </row>
    <row r="21" spans="1:1" x14ac:dyDescent="0.2">
      <c r="A21" s="92" t="s">
        <v>115</v>
      </c>
    </row>
    <row r="22" spans="1:1" x14ac:dyDescent="0.2">
      <c r="A22" s="2" t="s">
        <v>114</v>
      </c>
    </row>
    <row r="24" spans="1:1" x14ac:dyDescent="0.2">
      <c r="A24" t="s">
        <v>208</v>
      </c>
    </row>
  </sheetData>
  <pageMargins left="0.7" right="0.7" top="0.75" bottom="0.75" header="0.3" footer="0.3"/>
  <pageSetup paperSize="9" scale="8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2"/>
  <sheetViews>
    <sheetView workbookViewId="0">
      <selection activeCell="G79" sqref="G79"/>
    </sheetView>
  </sheetViews>
  <sheetFormatPr baseColWidth="10" defaultRowHeight="15" x14ac:dyDescent="0.2"/>
  <cols>
    <col min="8" max="8" width="15.83203125" bestFit="1" customWidth="1"/>
  </cols>
  <sheetData>
    <row r="1" spans="1:11" x14ac:dyDescent="0.2">
      <c r="A1" t="s">
        <v>116</v>
      </c>
    </row>
    <row r="3" spans="1:11" ht="16" thickBot="1" x14ac:dyDescent="0.25">
      <c r="A3" s="51" t="s">
        <v>75</v>
      </c>
      <c r="B3" s="52"/>
      <c r="E3" s="52"/>
    </row>
    <row r="4" spans="1:11" ht="33" thickTop="1" x14ac:dyDescent="0.2">
      <c r="A4" s="53"/>
      <c r="B4" s="54" t="s">
        <v>76</v>
      </c>
      <c r="C4" s="54" t="s">
        <v>77</v>
      </c>
      <c r="D4" s="55" t="s">
        <v>78</v>
      </c>
      <c r="E4" s="55" t="s">
        <v>79</v>
      </c>
      <c r="F4" s="55" t="s">
        <v>80</v>
      </c>
      <c r="G4" s="56" t="s">
        <v>81</v>
      </c>
      <c r="H4" s="57" t="s">
        <v>82</v>
      </c>
      <c r="J4" s="82" t="s">
        <v>109</v>
      </c>
    </row>
    <row r="5" spans="1:11" x14ac:dyDescent="0.2">
      <c r="A5" s="58" t="s">
        <v>83</v>
      </c>
      <c r="B5" s="59"/>
      <c r="C5" s="59"/>
      <c r="D5" s="59"/>
      <c r="E5" s="59"/>
      <c r="F5" s="59"/>
      <c r="G5" s="60"/>
      <c r="H5" s="61"/>
    </row>
    <row r="6" spans="1:11" x14ac:dyDescent="0.2">
      <c r="A6" s="62"/>
      <c r="B6" s="59"/>
      <c r="C6" s="59"/>
      <c r="D6" s="59"/>
      <c r="E6" s="59"/>
      <c r="F6" s="59"/>
      <c r="G6" s="60"/>
      <c r="H6" s="61"/>
    </row>
    <row r="7" spans="1:11" x14ac:dyDescent="0.2">
      <c r="A7" s="63" t="s">
        <v>84</v>
      </c>
      <c r="B7" s="59">
        <v>1.6723076702648401</v>
      </c>
      <c r="C7" s="59"/>
      <c r="D7" s="64">
        <v>0.6183950716275407</v>
      </c>
      <c r="E7" s="59">
        <v>8.32082688452285E-2</v>
      </c>
      <c r="F7" s="59">
        <v>0.29942244643467503</v>
      </c>
      <c r="G7" s="60">
        <f t="shared" ref="G7:G14" si="0">+B7+D7+E7+F7</f>
        <v>2.6733334571722844</v>
      </c>
      <c r="H7" s="65">
        <v>98.974977289733303</v>
      </c>
      <c r="J7" s="83">
        <v>298.75793841651864</v>
      </c>
    </row>
    <row r="8" spans="1:11" x14ac:dyDescent="0.2">
      <c r="A8" s="63" t="s">
        <v>85</v>
      </c>
      <c r="B8" s="59">
        <v>1.6723076702648401</v>
      </c>
      <c r="C8" s="59"/>
      <c r="D8" s="64">
        <v>0.6183950716275407</v>
      </c>
      <c r="E8" s="59">
        <v>8.32082688452285E-2</v>
      </c>
      <c r="F8" s="59">
        <v>0.29942244643467503</v>
      </c>
      <c r="G8" s="60">
        <f t="shared" si="0"/>
        <v>2.6733334571722844</v>
      </c>
      <c r="H8" s="65">
        <v>104.46635461388099</v>
      </c>
      <c r="J8" s="85">
        <v>548</v>
      </c>
    </row>
    <row r="9" spans="1:11" x14ac:dyDescent="0.2">
      <c r="A9" s="86" t="s">
        <v>73</v>
      </c>
      <c r="B9" s="87">
        <v>1.6723076702648401</v>
      </c>
      <c r="C9" s="87"/>
      <c r="D9" s="88">
        <v>0.6183950716275407</v>
      </c>
      <c r="E9" s="87">
        <v>8.32082688452285E-2</v>
      </c>
      <c r="F9" s="87">
        <v>0.45612603716976102</v>
      </c>
      <c r="G9" s="89">
        <f t="shared" si="0"/>
        <v>2.8300370479073704</v>
      </c>
      <c r="H9" s="90">
        <v>119.304232142373</v>
      </c>
      <c r="I9" s="91"/>
      <c r="J9" s="84">
        <v>725.62711105344601</v>
      </c>
    </row>
    <row r="10" spans="1:11" x14ac:dyDescent="0.2">
      <c r="A10" s="63" t="s">
        <v>86</v>
      </c>
      <c r="B10" s="59">
        <v>1.6723076702648401</v>
      </c>
      <c r="C10" s="59"/>
      <c r="D10" s="64">
        <v>0.6183950716275407</v>
      </c>
      <c r="E10" s="59">
        <v>8.32082688452285E-2</v>
      </c>
      <c r="F10" s="59">
        <v>0.46228410939289999</v>
      </c>
      <c r="G10" s="60">
        <f t="shared" si="0"/>
        <v>2.8361951201305096</v>
      </c>
      <c r="H10" s="65">
        <v>134.687527818848</v>
      </c>
      <c r="J10" s="83">
        <v>895.78921809002213</v>
      </c>
    </row>
    <row r="11" spans="1:11" x14ac:dyDescent="0.2">
      <c r="A11" s="63" t="s">
        <v>87</v>
      </c>
      <c r="B11" s="59">
        <v>2.6620095144734699</v>
      </c>
      <c r="C11" s="59"/>
      <c r="D11" s="64">
        <v>0.6183950716275407</v>
      </c>
      <c r="E11" s="59">
        <v>0.13245242325162901</v>
      </c>
      <c r="F11" s="59">
        <v>0.59528285354284405</v>
      </c>
      <c r="G11" s="60">
        <f t="shared" si="0"/>
        <v>4.0081398628954839</v>
      </c>
      <c r="H11" s="65">
        <v>174.78202145399001</v>
      </c>
      <c r="J11" s="83">
        <v>1108.0144778867923</v>
      </c>
    </row>
    <row r="12" spans="1:11" x14ac:dyDescent="0.2">
      <c r="A12" s="63" t="s">
        <v>88</v>
      </c>
      <c r="B12" s="59">
        <v>2.6620095144734699</v>
      </c>
      <c r="C12" s="59"/>
      <c r="D12" s="64">
        <v>0.6183950716275407</v>
      </c>
      <c r="E12" s="59">
        <v>0.13245242325162901</v>
      </c>
      <c r="F12" s="59">
        <v>0.59528285354284405</v>
      </c>
      <c r="G12" s="60">
        <f t="shared" si="0"/>
        <v>4.0081398628954839</v>
      </c>
      <c r="H12" s="65">
        <v>202.238908074731</v>
      </c>
      <c r="J12" s="83">
        <v>1352.8449689927784</v>
      </c>
    </row>
    <row r="13" spans="1:11" x14ac:dyDescent="0.2">
      <c r="A13" s="63" t="s">
        <v>89</v>
      </c>
      <c r="B13" s="59">
        <v>2.6620095144734699</v>
      </c>
      <c r="C13" s="59"/>
      <c r="D13" s="64">
        <v>0.6183950716275407</v>
      </c>
      <c r="E13" s="59">
        <v>0.13245242325162901</v>
      </c>
      <c r="F13" s="59">
        <v>0.86333843789503495</v>
      </c>
      <c r="G13" s="60">
        <f t="shared" si="0"/>
        <v>4.2761954472476749</v>
      </c>
      <c r="H13" s="65">
        <v>270.35430440074998</v>
      </c>
      <c r="J13" s="83">
        <v>1609.8879584830386</v>
      </c>
    </row>
    <row r="14" spans="1:11" x14ac:dyDescent="0.2">
      <c r="A14" s="63" t="s">
        <v>90</v>
      </c>
      <c r="B14" s="59">
        <v>3.4878857525155902</v>
      </c>
      <c r="C14" s="59"/>
      <c r="D14" s="64">
        <v>0.6183950716275407</v>
      </c>
      <c r="E14" s="59">
        <v>0.17354517984767501</v>
      </c>
      <c r="F14" s="59">
        <v>0.86333843789503495</v>
      </c>
      <c r="G14" s="60">
        <f t="shared" si="0"/>
        <v>5.1431644418858404</v>
      </c>
      <c r="H14" s="65">
        <v>435.09562412519199</v>
      </c>
      <c r="J14" s="83">
        <v>2461.3115217538025</v>
      </c>
    </row>
    <row r="15" spans="1:11" x14ac:dyDescent="0.2">
      <c r="A15" s="66" t="s">
        <v>91</v>
      </c>
      <c r="B15" s="59"/>
      <c r="C15" s="59"/>
      <c r="D15" s="59"/>
      <c r="E15" s="59"/>
      <c r="F15" s="59"/>
      <c r="G15" s="60"/>
      <c r="H15" s="65"/>
    </row>
    <row r="16" spans="1:11" x14ac:dyDescent="0.2">
      <c r="A16" s="58" t="s">
        <v>92</v>
      </c>
      <c r="B16" s="59"/>
      <c r="C16" s="59"/>
      <c r="D16" s="59"/>
      <c r="E16" s="59"/>
      <c r="F16" s="59"/>
      <c r="G16" s="60"/>
      <c r="H16" s="65"/>
      <c r="J16" s="83">
        <v>1574.9325559201236</v>
      </c>
      <c r="K16" t="s">
        <v>110</v>
      </c>
    </row>
    <row r="17" spans="1:11" x14ac:dyDescent="0.2">
      <c r="A17" s="62"/>
      <c r="B17" s="59"/>
      <c r="C17" s="59"/>
      <c r="D17" s="59"/>
      <c r="E17" s="59"/>
      <c r="F17" s="59"/>
      <c r="G17" s="60"/>
      <c r="H17" s="65"/>
      <c r="J17" s="83">
        <v>30102.540381512656</v>
      </c>
      <c r="K17" t="s">
        <v>111</v>
      </c>
    </row>
    <row r="18" spans="1:11" x14ac:dyDescent="0.2">
      <c r="A18" s="62" t="s">
        <v>93</v>
      </c>
      <c r="B18" s="59"/>
      <c r="C18" s="59"/>
      <c r="D18" s="59"/>
      <c r="E18" s="59"/>
      <c r="F18" s="59"/>
      <c r="G18" s="60"/>
      <c r="H18" s="65"/>
      <c r="J18" s="83">
        <v>221636.65669505476</v>
      </c>
      <c r="K18" t="s">
        <v>112</v>
      </c>
    </row>
    <row r="19" spans="1:11" x14ac:dyDescent="0.2">
      <c r="A19" s="67" t="s">
        <v>94</v>
      </c>
      <c r="B19" s="59">
        <v>0.80271564466602996</v>
      </c>
      <c r="C19" s="59"/>
      <c r="D19" s="64">
        <v>0.4328765501392785</v>
      </c>
      <c r="E19" s="59">
        <v>3.99403652541186E-2</v>
      </c>
      <c r="F19" s="59">
        <v>0.29340098888743199</v>
      </c>
      <c r="G19" s="60">
        <f>+B19+D19+E19+F19</f>
        <v>1.568933548946859</v>
      </c>
      <c r="H19" s="65">
        <v>242.491607279563</v>
      </c>
    </row>
    <row r="20" spans="1:11" x14ac:dyDescent="0.2">
      <c r="A20" s="67" t="s">
        <v>95</v>
      </c>
      <c r="B20" s="59">
        <v>0.80271564466602996</v>
      </c>
      <c r="C20" s="59"/>
      <c r="D20" s="64">
        <v>0.4328765501392785</v>
      </c>
      <c r="E20" s="59">
        <v>3.99403652541186E-2</v>
      </c>
      <c r="F20" s="59">
        <v>0.248794530883376</v>
      </c>
      <c r="G20" s="60">
        <f>+B20+D20+E20+F20</f>
        <v>1.5243270909428031</v>
      </c>
      <c r="H20" s="65">
        <v>242.491607279563</v>
      </c>
    </row>
    <row r="21" spans="1:11" x14ac:dyDescent="0.2">
      <c r="A21" s="67">
        <v>9001</v>
      </c>
      <c r="B21" s="59">
        <v>0.80271564466602996</v>
      </c>
      <c r="C21" s="59"/>
      <c r="D21" s="64">
        <v>0.4328765501392785</v>
      </c>
      <c r="E21" s="59">
        <v>3.99403652541186E-2</v>
      </c>
      <c r="F21" s="59">
        <v>0.204182581501999</v>
      </c>
      <c r="G21" s="60">
        <f>+B21+D21+E21+F21</f>
        <v>1.479715141561426</v>
      </c>
      <c r="H21" s="65">
        <v>242.491607279563</v>
      </c>
    </row>
    <row r="22" spans="1:11" x14ac:dyDescent="0.2">
      <c r="A22" s="62" t="s">
        <v>91</v>
      </c>
      <c r="B22" s="59"/>
      <c r="C22" s="59"/>
      <c r="D22" s="59"/>
      <c r="E22" s="59"/>
      <c r="F22" s="59"/>
      <c r="G22" s="60"/>
      <c r="H22" s="65"/>
    </row>
    <row r="23" spans="1:11" x14ac:dyDescent="0.2">
      <c r="A23" s="58" t="s">
        <v>96</v>
      </c>
      <c r="B23" s="59"/>
      <c r="C23" s="59"/>
      <c r="D23" s="59"/>
      <c r="E23" s="59"/>
      <c r="F23" s="59"/>
      <c r="G23" s="60"/>
      <c r="H23" s="65"/>
    </row>
    <row r="24" spans="1:11" x14ac:dyDescent="0.2">
      <c r="A24" s="68"/>
      <c r="B24" s="59"/>
      <c r="C24" s="59"/>
      <c r="D24" s="59"/>
      <c r="E24" s="59"/>
      <c r="F24" s="59"/>
      <c r="G24" s="60"/>
      <c r="H24" s="65"/>
    </row>
    <row r="25" spans="1:11" x14ac:dyDescent="0.2">
      <c r="A25" s="68" t="s">
        <v>93</v>
      </c>
      <c r="B25" s="59"/>
      <c r="C25" s="59"/>
      <c r="D25" s="59"/>
      <c r="E25" s="59"/>
      <c r="F25" s="59"/>
      <c r="G25" s="60"/>
      <c r="H25" s="65"/>
    </row>
    <row r="26" spans="1:11" x14ac:dyDescent="0.2">
      <c r="A26" s="69" t="s">
        <v>94</v>
      </c>
      <c r="B26" s="59">
        <v>1.85784267692142</v>
      </c>
      <c r="C26" s="59"/>
      <c r="D26" s="64">
        <v>0.4328765501392785</v>
      </c>
      <c r="E26" s="59">
        <v>9.2439851638625004E-2</v>
      </c>
      <c r="F26" s="59">
        <v>0.44337847461554403</v>
      </c>
      <c r="G26" s="60">
        <f>+B26+D26+E26+F26</f>
        <v>2.8265375533148678</v>
      </c>
      <c r="H26" s="65">
        <v>921.82114270721002</v>
      </c>
    </row>
    <row r="27" spans="1:11" x14ac:dyDescent="0.2">
      <c r="A27" s="69" t="s">
        <v>95</v>
      </c>
      <c r="B27" s="59">
        <v>1.85784267692142</v>
      </c>
      <c r="C27" s="59"/>
      <c r="D27" s="64">
        <v>0.4328765501392785</v>
      </c>
      <c r="E27" s="59">
        <v>9.2439851638625004E-2</v>
      </c>
      <c r="F27" s="59">
        <v>0.37535362615936002</v>
      </c>
      <c r="G27" s="60">
        <f>+B27+D27+E27+F27</f>
        <v>2.7585127048586835</v>
      </c>
      <c r="H27" s="65">
        <v>921.82114270721002</v>
      </c>
    </row>
    <row r="28" spans="1:11" x14ac:dyDescent="0.2">
      <c r="A28" s="69">
        <v>9001</v>
      </c>
      <c r="B28" s="59">
        <v>1.85784267692142</v>
      </c>
      <c r="C28" s="59"/>
      <c r="D28" s="64">
        <v>0.4328765501392785</v>
      </c>
      <c r="E28" s="59">
        <v>9.2439851638625004E-2</v>
      </c>
      <c r="F28" s="59">
        <v>0.30732040335275801</v>
      </c>
      <c r="G28" s="60">
        <f>+B28+D28+E28+F28</f>
        <v>2.6904794820520817</v>
      </c>
      <c r="H28" s="65">
        <v>921.82114270721002</v>
      </c>
    </row>
    <row r="29" spans="1:11" ht="16" thickBot="1" x14ac:dyDescent="0.25">
      <c r="A29" s="68" t="s">
        <v>91</v>
      </c>
      <c r="B29" s="59"/>
      <c r="C29" s="59"/>
      <c r="D29" s="59"/>
      <c r="E29" s="59"/>
      <c r="F29" s="59"/>
      <c r="G29" s="60"/>
      <c r="H29" s="70"/>
    </row>
    <row r="30" spans="1:11" ht="16" thickTop="1" x14ac:dyDescent="0.2">
      <c r="A30" s="68"/>
      <c r="B30" s="71"/>
      <c r="C30" s="59"/>
      <c r="D30" s="72"/>
      <c r="E30" s="72"/>
      <c r="F30" s="72"/>
      <c r="G30" s="73"/>
      <c r="H30" s="59"/>
    </row>
    <row r="31" spans="1:11" x14ac:dyDescent="0.2">
      <c r="A31" s="58" t="s">
        <v>97</v>
      </c>
      <c r="B31" s="59"/>
      <c r="C31" s="59"/>
      <c r="D31" s="59"/>
      <c r="E31" s="59"/>
      <c r="F31" s="59"/>
      <c r="G31" s="60"/>
      <c r="H31" s="59"/>
    </row>
    <row r="32" spans="1:11" x14ac:dyDescent="0.2">
      <c r="A32" s="68" t="s">
        <v>98</v>
      </c>
      <c r="B32" s="59"/>
      <c r="C32" s="59"/>
      <c r="D32" s="59"/>
      <c r="E32" s="59"/>
      <c r="F32" s="74">
        <v>5552.6989142011998</v>
      </c>
      <c r="G32" s="75">
        <v>5552.6989142011998</v>
      </c>
      <c r="H32" s="59">
        <v>5552.6989142011998</v>
      </c>
    </row>
    <row r="33" spans="1:8" x14ac:dyDescent="0.2">
      <c r="A33" s="68" t="s">
        <v>93</v>
      </c>
      <c r="B33" s="59"/>
      <c r="C33" s="59"/>
      <c r="D33" s="59"/>
      <c r="E33" s="59"/>
      <c r="F33" s="59"/>
      <c r="G33" s="60"/>
      <c r="H33" s="59"/>
    </row>
    <row r="34" spans="1:8" x14ac:dyDescent="0.2">
      <c r="A34" s="69" t="s">
        <v>94</v>
      </c>
      <c r="B34" s="59">
        <v>0</v>
      </c>
      <c r="C34" s="59"/>
      <c r="D34" s="59">
        <v>0</v>
      </c>
      <c r="E34" s="59">
        <v>0</v>
      </c>
      <c r="F34" s="59">
        <v>0.44337847461554403</v>
      </c>
      <c r="G34" s="60">
        <v>0.44337847461554403</v>
      </c>
      <c r="H34" s="59">
        <v>5552.6989142011998</v>
      </c>
    </row>
    <row r="35" spans="1:8" x14ac:dyDescent="0.2">
      <c r="A35" s="69" t="s">
        <v>95</v>
      </c>
      <c r="B35" s="59">
        <v>0</v>
      </c>
      <c r="C35" s="59"/>
      <c r="D35" s="59">
        <v>0</v>
      </c>
      <c r="E35" s="59">
        <v>0</v>
      </c>
      <c r="F35" s="59">
        <v>0.37535362615936002</v>
      </c>
      <c r="G35" s="60">
        <v>0.37535362615936002</v>
      </c>
      <c r="H35" s="59">
        <v>5552.6989142011998</v>
      </c>
    </row>
    <row r="36" spans="1:8" x14ac:dyDescent="0.2">
      <c r="A36" s="69">
        <v>9001</v>
      </c>
      <c r="B36" s="59">
        <v>0</v>
      </c>
      <c r="C36" s="59"/>
      <c r="D36" s="59">
        <v>0</v>
      </c>
      <c r="E36" s="59">
        <v>0</v>
      </c>
      <c r="F36" s="59">
        <v>0.30732040335275801</v>
      </c>
      <c r="G36" s="60">
        <v>0.30732040335275801</v>
      </c>
      <c r="H36" s="59">
        <v>5552.6989142011998</v>
      </c>
    </row>
    <row r="37" spans="1:8" x14ac:dyDescent="0.2">
      <c r="A37" s="68" t="s">
        <v>91</v>
      </c>
      <c r="B37" s="59"/>
      <c r="C37" s="59"/>
      <c r="D37" s="59"/>
      <c r="E37" s="59"/>
      <c r="F37" s="59"/>
      <c r="G37" s="61"/>
      <c r="H37" s="59"/>
    </row>
    <row r="38" spans="1:8" x14ac:dyDescent="0.2">
      <c r="A38" s="58" t="s">
        <v>99</v>
      </c>
      <c r="B38" s="59"/>
      <c r="C38" s="59"/>
      <c r="D38" s="59"/>
      <c r="E38" s="59"/>
      <c r="F38" s="59"/>
      <c r="G38" s="60"/>
      <c r="H38" s="59"/>
    </row>
    <row r="39" spans="1:8" x14ac:dyDescent="0.2">
      <c r="A39" s="62" t="s">
        <v>98</v>
      </c>
      <c r="B39" s="59"/>
      <c r="C39" s="59"/>
      <c r="D39" s="59"/>
      <c r="E39" s="59"/>
      <c r="F39" s="74">
        <v>5549.7190787013997</v>
      </c>
      <c r="G39" s="75">
        <v>5549.7190787013997</v>
      </c>
      <c r="H39" s="59">
        <v>5549.7190787013997</v>
      </c>
    </row>
    <row r="40" spans="1:8" x14ac:dyDescent="0.2">
      <c r="A40" s="62" t="s">
        <v>93</v>
      </c>
      <c r="B40" s="59"/>
      <c r="C40" s="59"/>
      <c r="D40" s="59"/>
      <c r="E40" s="59"/>
      <c r="F40" s="59"/>
      <c r="G40" s="60"/>
      <c r="H40" s="59"/>
    </row>
    <row r="41" spans="1:8" x14ac:dyDescent="0.2">
      <c r="A41" s="67" t="s">
        <v>100</v>
      </c>
      <c r="B41" s="59">
        <v>0</v>
      </c>
      <c r="C41" s="59"/>
      <c r="D41" s="59">
        <v>0</v>
      </c>
      <c r="E41" s="59">
        <v>0</v>
      </c>
      <c r="F41" s="59">
        <v>7.8003096669817196E-2</v>
      </c>
      <c r="G41" s="61">
        <v>7.8003096669817196E-2</v>
      </c>
      <c r="H41" s="59">
        <v>5549.7190787013997</v>
      </c>
    </row>
    <row r="42" spans="1:8" x14ac:dyDescent="0.2">
      <c r="A42" s="62">
        <v>5001</v>
      </c>
      <c r="B42" s="59">
        <v>0</v>
      </c>
      <c r="C42" s="59"/>
      <c r="D42" s="59">
        <v>0</v>
      </c>
      <c r="E42" s="59">
        <v>0</v>
      </c>
      <c r="F42" s="59">
        <v>5.1479744194183698E-2</v>
      </c>
      <c r="G42" s="61">
        <v>5.1479744194183698E-2</v>
      </c>
      <c r="H42" s="59">
        <v>5549.7190787013997</v>
      </c>
    </row>
    <row r="43" spans="1:8" x14ac:dyDescent="0.2">
      <c r="A43" s="62" t="s">
        <v>101</v>
      </c>
      <c r="B43" s="59"/>
      <c r="C43" s="59"/>
      <c r="D43" s="59"/>
      <c r="E43" s="59"/>
      <c r="F43" s="74">
        <v>4.6071996784323499</v>
      </c>
      <c r="G43" s="61">
        <v>4.6071996784323499</v>
      </c>
      <c r="H43" s="59"/>
    </row>
    <row r="44" spans="1:8" x14ac:dyDescent="0.2">
      <c r="A44" s="58" t="s">
        <v>102</v>
      </c>
      <c r="B44" s="59"/>
      <c r="C44" s="59"/>
      <c r="D44" s="59"/>
      <c r="E44" s="59"/>
      <c r="F44" s="59"/>
      <c r="G44" s="60"/>
      <c r="H44" s="59"/>
    </row>
    <row r="45" spans="1:8" x14ac:dyDescent="0.2">
      <c r="A45" s="62" t="s">
        <v>98</v>
      </c>
      <c r="B45" s="59"/>
      <c r="C45" s="59"/>
      <c r="D45" s="59"/>
      <c r="E45" s="59"/>
      <c r="F45" s="74">
        <v>11043.945422758699</v>
      </c>
      <c r="G45" s="75">
        <v>11043.945422758699</v>
      </c>
      <c r="H45" s="59">
        <v>11043.945422758699</v>
      </c>
    </row>
    <row r="46" spans="1:8" x14ac:dyDescent="0.2">
      <c r="A46" s="62" t="s">
        <v>93</v>
      </c>
      <c r="B46" s="59">
        <v>0</v>
      </c>
      <c r="C46" s="59"/>
      <c r="D46" s="59">
        <v>0</v>
      </c>
      <c r="E46" s="59">
        <v>0</v>
      </c>
      <c r="F46" s="59">
        <v>0.13985490691945501</v>
      </c>
      <c r="G46" s="61">
        <v>0.13985490691945501</v>
      </c>
      <c r="H46" s="59">
        <v>11043.945422758699</v>
      </c>
    </row>
    <row r="47" spans="1:8" x14ac:dyDescent="0.2">
      <c r="A47" s="58" t="s">
        <v>103</v>
      </c>
      <c r="B47" s="59"/>
      <c r="C47" s="59"/>
      <c r="D47" s="59"/>
      <c r="E47" s="59"/>
      <c r="F47" s="59"/>
      <c r="G47" s="60"/>
      <c r="H47" s="59"/>
    </row>
    <row r="48" spans="1:8" x14ac:dyDescent="0.2">
      <c r="A48" s="62" t="s">
        <v>98</v>
      </c>
      <c r="B48" s="59"/>
      <c r="C48" s="59"/>
      <c r="D48" s="59"/>
      <c r="E48" s="59"/>
      <c r="F48" s="74">
        <v>11043.945422758699</v>
      </c>
      <c r="G48" s="75">
        <v>11043.945422758699</v>
      </c>
      <c r="H48" s="59">
        <v>11043.945422758699</v>
      </c>
    </row>
    <row r="49" spans="1:8" x14ac:dyDescent="0.2">
      <c r="A49" s="62" t="s">
        <v>93</v>
      </c>
      <c r="B49" s="59">
        <v>0</v>
      </c>
      <c r="C49" s="59"/>
      <c r="D49" s="59">
        <v>0</v>
      </c>
      <c r="E49" s="59">
        <v>0</v>
      </c>
      <c r="F49" s="59">
        <v>4.6081720284546199E-2</v>
      </c>
      <c r="G49" s="61">
        <v>4.6081720284546199E-2</v>
      </c>
      <c r="H49" s="59">
        <v>11043.945422758699</v>
      </c>
    </row>
    <row r="50" spans="1:8" x14ac:dyDescent="0.2">
      <c r="A50" s="62" t="s">
        <v>101</v>
      </c>
      <c r="B50" s="59"/>
      <c r="C50" s="59"/>
      <c r="D50" s="59"/>
      <c r="E50" s="59"/>
      <c r="F50" s="74">
        <v>2.80389177033268</v>
      </c>
      <c r="G50" s="61">
        <v>2.80389177033268</v>
      </c>
      <c r="H50" s="59"/>
    </row>
    <row r="51" spans="1:8" x14ac:dyDescent="0.2">
      <c r="A51" s="58" t="s">
        <v>104</v>
      </c>
      <c r="B51" s="59"/>
      <c r="C51" s="59"/>
      <c r="D51" s="59"/>
      <c r="E51" s="59"/>
      <c r="F51" s="59"/>
      <c r="G51" s="60"/>
      <c r="H51" s="59"/>
    </row>
    <row r="52" spans="1:8" x14ac:dyDescent="0.2">
      <c r="A52" s="62" t="s">
        <v>98</v>
      </c>
      <c r="B52" s="59"/>
      <c r="C52" s="59"/>
      <c r="D52" s="59"/>
      <c r="E52" s="59"/>
      <c r="F52" s="74">
        <v>11043.945422758699</v>
      </c>
      <c r="G52" s="75">
        <v>11043.945422758699</v>
      </c>
      <c r="H52" s="59">
        <v>11043.945422758699</v>
      </c>
    </row>
    <row r="53" spans="1:8" x14ac:dyDescent="0.2">
      <c r="A53" s="62" t="s">
        <v>93</v>
      </c>
      <c r="B53" s="59">
        <v>0</v>
      </c>
      <c r="C53" s="59"/>
      <c r="D53" s="59">
        <v>0</v>
      </c>
      <c r="E53" s="59">
        <v>0</v>
      </c>
      <c r="F53" s="59">
        <v>0.10091555031392099</v>
      </c>
      <c r="G53" s="61">
        <v>0.10091555031392099</v>
      </c>
      <c r="H53" s="59">
        <v>11043.945422758699</v>
      </c>
    </row>
    <row r="54" spans="1:8" x14ac:dyDescent="0.2">
      <c r="A54" s="58" t="s">
        <v>105</v>
      </c>
      <c r="B54" s="59"/>
      <c r="C54" s="59"/>
      <c r="D54" s="59"/>
      <c r="E54" s="59"/>
      <c r="F54" s="59"/>
      <c r="G54" s="60"/>
      <c r="H54" s="59"/>
    </row>
    <row r="55" spans="1:8" x14ac:dyDescent="0.2">
      <c r="A55" s="62" t="s">
        <v>98</v>
      </c>
      <c r="B55" s="59"/>
      <c r="C55" s="59"/>
      <c r="D55" s="59"/>
      <c r="E55" s="59"/>
      <c r="F55" s="74">
        <v>11043.945422758699</v>
      </c>
      <c r="G55" s="75">
        <v>11043.945422758699</v>
      </c>
      <c r="H55" s="59">
        <v>11043.945422758699</v>
      </c>
    </row>
    <row r="56" spans="1:8" x14ac:dyDescent="0.2">
      <c r="A56" s="62" t="s">
        <v>93</v>
      </c>
      <c r="B56" s="59">
        <v>0</v>
      </c>
      <c r="C56" s="59"/>
      <c r="D56" s="59">
        <v>0</v>
      </c>
      <c r="E56" s="59">
        <v>0</v>
      </c>
      <c r="F56" s="59">
        <v>7.1423636790126296E-3</v>
      </c>
      <c r="G56" s="61">
        <v>7.1423636790126296E-3</v>
      </c>
      <c r="H56" s="59">
        <v>11043.945422758699</v>
      </c>
    </row>
    <row r="57" spans="1:8" x14ac:dyDescent="0.2">
      <c r="A57" s="62" t="s">
        <v>101</v>
      </c>
      <c r="B57" s="59"/>
      <c r="C57" s="59"/>
      <c r="D57" s="59"/>
      <c r="E57" s="59"/>
      <c r="F57" s="74">
        <v>2.4701203651936399</v>
      </c>
      <c r="G57" s="61">
        <v>2.4701203651936399</v>
      </c>
      <c r="H57" s="59"/>
    </row>
    <row r="58" spans="1:8" x14ac:dyDescent="0.2">
      <c r="A58" s="58" t="s">
        <v>106</v>
      </c>
      <c r="B58" s="59"/>
      <c r="C58" s="59"/>
      <c r="D58" s="59"/>
      <c r="E58" s="59"/>
      <c r="F58" s="59"/>
      <c r="G58" s="60"/>
      <c r="H58" s="59"/>
    </row>
    <row r="59" spans="1:8" x14ac:dyDescent="0.2">
      <c r="A59" s="62" t="s">
        <v>98</v>
      </c>
      <c r="B59" s="59"/>
      <c r="C59" s="59"/>
      <c r="D59" s="59"/>
      <c r="E59" s="59"/>
      <c r="F59" s="74">
        <v>3032.29011452641</v>
      </c>
      <c r="G59" s="75">
        <v>3032.29011452641</v>
      </c>
      <c r="H59" s="59">
        <v>3032.29011452641</v>
      </c>
    </row>
    <row r="60" spans="1:8" x14ac:dyDescent="0.2">
      <c r="A60" s="62" t="s">
        <v>93</v>
      </c>
      <c r="B60" s="59">
        <v>2.79696157951838</v>
      </c>
      <c r="C60" s="59"/>
      <c r="D60" s="59">
        <v>0</v>
      </c>
      <c r="E60" s="59">
        <v>0.13916717312041199</v>
      </c>
      <c r="F60" s="59">
        <v>0.129053367722856</v>
      </c>
      <c r="G60" s="61">
        <v>3.0651821203616501</v>
      </c>
      <c r="H60" s="59">
        <v>3032.29011452641</v>
      </c>
    </row>
    <row r="61" spans="1:8" x14ac:dyDescent="0.2">
      <c r="A61" s="58" t="s">
        <v>107</v>
      </c>
      <c r="B61" s="59"/>
      <c r="C61" s="59"/>
      <c r="D61" s="59"/>
      <c r="E61" s="59"/>
      <c r="F61" s="59"/>
      <c r="G61" s="60"/>
      <c r="H61" s="59"/>
    </row>
    <row r="62" spans="1:8" x14ac:dyDescent="0.2">
      <c r="A62" s="62" t="s">
        <v>98</v>
      </c>
      <c r="B62" s="59"/>
      <c r="C62" s="59"/>
      <c r="D62" s="59"/>
      <c r="E62" s="59"/>
      <c r="F62" s="74">
        <v>3032.29011452641</v>
      </c>
      <c r="G62" s="75">
        <v>3032.29011452641</v>
      </c>
      <c r="H62" s="59">
        <v>3032.29011452641</v>
      </c>
    </row>
    <row r="63" spans="1:8" x14ac:dyDescent="0.2">
      <c r="A63" s="62" t="s">
        <v>93</v>
      </c>
      <c r="B63" s="59">
        <v>2.79696157951838</v>
      </c>
      <c r="C63" s="59"/>
      <c r="D63" s="59">
        <v>0.21643827506963925</v>
      </c>
      <c r="E63" s="59">
        <v>0.13916717312041199</v>
      </c>
      <c r="F63" s="59">
        <v>3.2924380215885701E-2</v>
      </c>
      <c r="G63" s="61">
        <v>3.1802497789753401</v>
      </c>
      <c r="H63" s="59">
        <v>3032.29011452641</v>
      </c>
    </row>
    <row r="64" spans="1:8" x14ac:dyDescent="0.2">
      <c r="A64" s="62" t="s">
        <v>101</v>
      </c>
      <c r="B64" s="59"/>
      <c r="C64" s="59"/>
      <c r="D64" s="59"/>
      <c r="E64" s="59"/>
      <c r="F64" s="74">
        <v>2.9238506362387402</v>
      </c>
      <c r="G64" s="61">
        <v>2.9238506362387402</v>
      </c>
      <c r="H64" s="59"/>
    </row>
    <row r="65" spans="1:8" x14ac:dyDescent="0.2">
      <c r="A65" s="58" t="s">
        <v>108</v>
      </c>
      <c r="B65" s="59"/>
      <c r="C65" s="59"/>
      <c r="D65" s="59"/>
      <c r="E65" s="59"/>
      <c r="F65" s="59"/>
      <c r="G65" s="60"/>
      <c r="H65" s="59"/>
    </row>
    <row r="66" spans="1:8" x14ac:dyDescent="0.2">
      <c r="A66" s="62" t="s">
        <v>98</v>
      </c>
      <c r="B66" s="59"/>
      <c r="C66" s="59"/>
      <c r="D66" s="59"/>
      <c r="E66" s="59"/>
      <c r="F66" s="59"/>
      <c r="G66" s="76">
        <v>5549.7190787013997</v>
      </c>
      <c r="H66" s="59">
        <v>5549.7190787013997</v>
      </c>
    </row>
    <row r="67" spans="1:8" ht="16" thickBot="1" x14ac:dyDescent="0.25">
      <c r="A67" s="77" t="s">
        <v>93</v>
      </c>
      <c r="B67" s="78">
        <v>0</v>
      </c>
      <c r="C67" s="79"/>
      <c r="D67" s="79">
        <v>0.28858436675951898</v>
      </c>
      <c r="E67" s="79">
        <v>0</v>
      </c>
      <c r="F67" s="80">
        <v>0.34487866356885699</v>
      </c>
      <c r="G67" s="81">
        <v>0.62647419172973595</v>
      </c>
      <c r="H67" s="79">
        <v>5549.7190787013997</v>
      </c>
    </row>
    <row r="68" spans="1:8" ht="16" thickTop="1" x14ac:dyDescent="0.2"/>
    <row r="77" spans="1:8" x14ac:dyDescent="0.2">
      <c r="A77" s="94">
        <v>43374</v>
      </c>
    </row>
    <row r="78" spans="1:8" ht="16" thickBot="1" x14ac:dyDescent="0.25">
      <c r="A78" t="s">
        <v>176</v>
      </c>
    </row>
    <row r="79" spans="1:8" ht="48" x14ac:dyDescent="0.2">
      <c r="A79" s="158" t="s">
        <v>177</v>
      </c>
      <c r="B79" s="159" t="s">
        <v>178</v>
      </c>
      <c r="C79" s="159" t="s">
        <v>179</v>
      </c>
      <c r="D79" s="159" t="s">
        <v>180</v>
      </c>
      <c r="E79" s="160" t="s">
        <v>181</v>
      </c>
      <c r="F79" s="160" t="s">
        <v>182</v>
      </c>
      <c r="G79" s="159" t="s">
        <v>183</v>
      </c>
      <c r="H79" s="159" t="s">
        <v>184</v>
      </c>
    </row>
    <row r="80" spans="1:8" x14ac:dyDescent="0.2">
      <c r="A80" s="161" t="s">
        <v>185</v>
      </c>
      <c r="B80" s="162">
        <v>5.2938660000000004</v>
      </c>
      <c r="C80" s="163">
        <v>1.893391</v>
      </c>
      <c r="D80" s="162">
        <v>0.263405</v>
      </c>
      <c r="E80" s="162">
        <v>0.51182700000000003</v>
      </c>
      <c r="F80" s="162">
        <v>-0.31442599999999998</v>
      </c>
      <c r="G80" s="164">
        <v>169.18583799999999</v>
      </c>
      <c r="H80" s="164">
        <v>7.6480630000000005</v>
      </c>
    </row>
    <row r="81" spans="1:8" x14ac:dyDescent="0.2">
      <c r="A81" s="161" t="s">
        <v>186</v>
      </c>
      <c r="B81" s="162">
        <v>5.2938660000000004</v>
      </c>
      <c r="C81" s="163">
        <v>1.893391</v>
      </c>
      <c r="D81" s="162">
        <v>0.263405</v>
      </c>
      <c r="E81" s="162">
        <v>0.51182700000000003</v>
      </c>
      <c r="F81" s="162">
        <v>-0.31442599999999998</v>
      </c>
      <c r="G81" s="164">
        <v>178.572688</v>
      </c>
      <c r="H81" s="164">
        <v>7.6480630000000005</v>
      </c>
    </row>
    <row r="82" spans="1:8" x14ac:dyDescent="0.2">
      <c r="A82" s="171" t="s">
        <v>187</v>
      </c>
      <c r="B82" s="172">
        <v>5.2938660000000004</v>
      </c>
      <c r="C82" s="173">
        <v>1.893391</v>
      </c>
      <c r="D82" s="172">
        <v>0.263405</v>
      </c>
      <c r="E82" s="172">
        <v>0.77969299999999997</v>
      </c>
      <c r="F82" s="172">
        <v>-0.31442599999999998</v>
      </c>
      <c r="G82" s="173">
        <v>203.93625900000001</v>
      </c>
      <c r="H82" s="173">
        <v>7.9159289999999993</v>
      </c>
    </row>
    <row r="83" spans="1:8" x14ac:dyDescent="0.2">
      <c r="A83" s="161" t="s">
        <v>188</v>
      </c>
      <c r="B83" s="162">
        <v>5.2938660000000004</v>
      </c>
      <c r="C83" s="163">
        <v>1.893391</v>
      </c>
      <c r="D83" s="162">
        <v>0.263405</v>
      </c>
      <c r="E83" s="162">
        <v>0.790219</v>
      </c>
      <c r="F83" s="162">
        <v>-0.31442599999999998</v>
      </c>
      <c r="G83" s="164">
        <v>230.23215500000001</v>
      </c>
      <c r="H83" s="164">
        <v>7.9264549999999998</v>
      </c>
    </row>
    <row r="84" spans="1:8" x14ac:dyDescent="0.2">
      <c r="A84" s="161" t="s">
        <v>189</v>
      </c>
      <c r="B84" s="162">
        <v>5.2938660000000004</v>
      </c>
      <c r="C84" s="163">
        <v>1.893391</v>
      </c>
      <c r="D84" s="162">
        <v>0.263405</v>
      </c>
      <c r="E84" s="162">
        <v>1.0175650000000001</v>
      </c>
      <c r="F84" s="162">
        <v>-0.31442599999999998</v>
      </c>
      <c r="G84" s="164">
        <v>298.76887900000003</v>
      </c>
      <c r="H84" s="164">
        <v>8.1538010000000014</v>
      </c>
    </row>
    <row r="85" spans="1:8" x14ac:dyDescent="0.2">
      <c r="A85" s="161" t="s">
        <v>190</v>
      </c>
      <c r="B85" s="162">
        <v>5.2938660000000004</v>
      </c>
      <c r="C85" s="163">
        <v>1.893391</v>
      </c>
      <c r="D85" s="162">
        <v>0.263405</v>
      </c>
      <c r="E85" s="162">
        <v>1.0175650000000001</v>
      </c>
      <c r="F85" s="162">
        <v>-0.31442599999999998</v>
      </c>
      <c r="G85" s="164">
        <v>345.70312899999999</v>
      </c>
      <c r="H85" s="164">
        <v>8.1538010000000014</v>
      </c>
    </row>
    <row r="86" spans="1:8" x14ac:dyDescent="0.2">
      <c r="A86" s="161" t="s">
        <v>191</v>
      </c>
      <c r="B86" s="162">
        <v>5.2938660000000004</v>
      </c>
      <c r="C86" s="163">
        <v>1.893391</v>
      </c>
      <c r="D86" s="162">
        <v>0.263405</v>
      </c>
      <c r="E86" s="162">
        <v>1.4757739999999999</v>
      </c>
      <c r="F86" s="162">
        <v>-0.31442599999999998</v>
      </c>
      <c r="G86" s="164">
        <v>462.13821999999999</v>
      </c>
      <c r="H86" s="164">
        <v>8.6120100000000015</v>
      </c>
    </row>
    <row r="87" spans="1:8" x14ac:dyDescent="0.2">
      <c r="A87" s="161" t="s">
        <v>192</v>
      </c>
      <c r="B87" s="162">
        <v>5.2938660000000004</v>
      </c>
      <c r="C87" s="163">
        <v>1.893391</v>
      </c>
      <c r="D87" s="162">
        <v>0.263405</v>
      </c>
      <c r="E87" s="162">
        <v>1.4757739999999999</v>
      </c>
      <c r="F87" s="162">
        <v>-0.31442599999999998</v>
      </c>
      <c r="G87" s="164">
        <v>743.74372300000005</v>
      </c>
      <c r="H87" s="164">
        <v>8.6120100000000015</v>
      </c>
    </row>
    <row r="88" spans="1:8" x14ac:dyDescent="0.2">
      <c r="A88" s="161" t="s">
        <v>193</v>
      </c>
      <c r="B88" s="129">
        <v>5.2938660000000004</v>
      </c>
      <c r="C88" s="129">
        <v>1.3253729999999999</v>
      </c>
      <c r="D88" s="129">
        <v>0.263405</v>
      </c>
      <c r="E88" s="129">
        <v>0.42528100000000002</v>
      </c>
      <c r="F88" s="129">
        <v>-0.31442599999999998</v>
      </c>
      <c r="G88" s="165">
        <v>414.51028500000001</v>
      </c>
      <c r="H88" s="164">
        <v>6.9934989999999999</v>
      </c>
    </row>
    <row r="89" spans="1:8" x14ac:dyDescent="0.2">
      <c r="A89" s="161" t="s">
        <v>194</v>
      </c>
      <c r="B89" s="129">
        <v>5.2938660000000004</v>
      </c>
      <c r="C89" s="129">
        <v>1.3253729999999999</v>
      </c>
      <c r="D89" s="129">
        <v>0.263405</v>
      </c>
      <c r="E89" s="129">
        <v>0.42528100000000002</v>
      </c>
      <c r="F89" s="129">
        <v>-0.31442599999999998</v>
      </c>
      <c r="G89" s="165">
        <v>414.51028500000001</v>
      </c>
      <c r="H89" s="164">
        <v>6.9934989999999999</v>
      </c>
    </row>
    <row r="90" spans="1:8" x14ac:dyDescent="0.2">
      <c r="A90" s="161" t="s">
        <v>195</v>
      </c>
      <c r="B90" s="129">
        <v>5.2938660000000004</v>
      </c>
      <c r="C90" s="129">
        <v>1.3253729999999999</v>
      </c>
      <c r="D90" s="129">
        <v>0.263405</v>
      </c>
      <c r="E90" s="129">
        <v>0.64161699999999999</v>
      </c>
      <c r="F90" s="129">
        <v>-0.31442599999999998</v>
      </c>
      <c r="G90" s="165">
        <v>1575.7425519999999</v>
      </c>
      <c r="H90" s="164">
        <v>7.209835</v>
      </c>
    </row>
    <row r="91" spans="1:8" x14ac:dyDescent="0.2">
      <c r="A91" s="166" t="s">
        <v>196</v>
      </c>
      <c r="B91" s="167">
        <v>3.94</v>
      </c>
      <c r="C91" s="168">
        <v>0.25891906849315049</v>
      </c>
      <c r="D91" s="168">
        <v>7.8799999999999995E-2</v>
      </c>
      <c r="E91" s="167">
        <v>0.1106675</v>
      </c>
      <c r="F91" s="129">
        <v>0</v>
      </c>
      <c r="G91" s="169">
        <v>9486.578356</v>
      </c>
      <c r="H91" s="164">
        <v>4.3883865684931509</v>
      </c>
    </row>
    <row r="92" spans="1:8" x14ac:dyDescent="0.2">
      <c r="A92" s="166" t="s">
        <v>197</v>
      </c>
      <c r="B92" s="167">
        <v>5.2938660000000004</v>
      </c>
      <c r="C92" s="167">
        <v>0.66268700000000003</v>
      </c>
      <c r="D92" s="167">
        <v>0.263405</v>
      </c>
      <c r="E92" s="167">
        <v>5.6279999999999997E-2</v>
      </c>
      <c r="F92" s="167">
        <v>-0.31442599999999998</v>
      </c>
      <c r="G92" s="170">
        <v>5183.3358340000004</v>
      </c>
      <c r="H92" s="164">
        <v>5.9618120000000001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32"/>
  <sheetViews>
    <sheetView showGridLines="0" tabSelected="1" zoomScale="128" zoomScaleNormal="128" workbookViewId="0">
      <selection activeCell="C33" sqref="C33"/>
    </sheetView>
  </sheetViews>
  <sheetFormatPr baseColWidth="10" defaultRowHeight="15" x14ac:dyDescent="0.2"/>
  <cols>
    <col min="1" max="1" width="37.5" bestFit="1" customWidth="1"/>
    <col min="2" max="2" width="7.33203125" customWidth="1"/>
    <col min="3" max="3" width="19" customWidth="1"/>
    <col min="4" max="4" width="17.83203125" customWidth="1"/>
    <col min="5" max="5" width="15.6640625" customWidth="1"/>
    <col min="6" max="6" width="16.33203125" customWidth="1"/>
    <col min="7" max="7" width="15.1640625" customWidth="1"/>
    <col min="8" max="8" width="15.5" customWidth="1"/>
    <col min="9" max="9" width="14.33203125" hidden="1" customWidth="1"/>
    <col min="10" max="10" width="12.83203125" hidden="1" customWidth="1"/>
    <col min="11" max="11" width="17.33203125" hidden="1" customWidth="1"/>
    <col min="12" max="12" width="14.33203125" hidden="1" customWidth="1"/>
    <col min="13" max="13" width="14.5" bestFit="1" customWidth="1"/>
    <col min="14" max="17" width="14.33203125" hidden="1" customWidth="1"/>
    <col min="18" max="18" width="14.33203125" bestFit="1" customWidth="1"/>
    <col min="19" max="22" width="14.33203125" hidden="1" customWidth="1"/>
    <col min="23" max="23" width="14.83203125" bestFit="1" customWidth="1"/>
    <col min="24" max="24" width="14.6640625" bestFit="1" customWidth="1"/>
  </cols>
  <sheetData>
    <row r="1" spans="1:23" ht="16" thickBot="1" x14ac:dyDescent="0.25"/>
    <row r="2" spans="1:23" x14ac:dyDescent="0.2">
      <c r="A2" s="4" t="s">
        <v>0</v>
      </c>
      <c r="B2" s="11"/>
      <c r="C2" s="7" t="s">
        <v>215</v>
      </c>
    </row>
    <row r="3" spans="1:23" x14ac:dyDescent="0.2">
      <c r="A3" s="5" t="s">
        <v>153</v>
      </c>
      <c r="B3" s="12"/>
      <c r="C3" s="8">
        <v>123000</v>
      </c>
    </row>
    <row r="4" spans="1:23" x14ac:dyDescent="0.2">
      <c r="A4" s="5" t="s">
        <v>2</v>
      </c>
      <c r="B4" s="12"/>
      <c r="C4" s="8">
        <v>6715</v>
      </c>
    </row>
    <row r="5" spans="1:23" x14ac:dyDescent="0.2">
      <c r="A5" s="5" t="s">
        <v>154</v>
      </c>
      <c r="B5" s="12"/>
      <c r="C5" s="8">
        <f>+'Ahorro GLP-GN'!H3</f>
        <v>800</v>
      </c>
    </row>
    <row r="6" spans="1:23" x14ac:dyDescent="0.2">
      <c r="A6" s="5" t="s">
        <v>30</v>
      </c>
      <c r="B6" s="12"/>
      <c r="C6" s="8">
        <f>+C4</f>
        <v>6715</v>
      </c>
    </row>
    <row r="7" spans="1:23" x14ac:dyDescent="0.2">
      <c r="A7" s="5" t="s">
        <v>129</v>
      </c>
      <c r="B7" s="12"/>
      <c r="C7" s="123">
        <f>+Resumen!D4</f>
        <v>31167095.649999999</v>
      </c>
    </row>
    <row r="8" spans="1:23" ht="16" thickBot="1" x14ac:dyDescent="0.25">
      <c r="A8" s="6" t="s">
        <v>37</v>
      </c>
      <c r="B8" s="13"/>
      <c r="C8" s="9">
        <f>+Metodologia!B14</f>
        <v>33161</v>
      </c>
    </row>
    <row r="9" spans="1:23" ht="16" thickBot="1" x14ac:dyDescent="0.25"/>
    <row r="10" spans="1:23" x14ac:dyDescent="0.2">
      <c r="A10" s="4" t="s">
        <v>5</v>
      </c>
      <c r="B10" s="11"/>
      <c r="C10" s="43">
        <v>9.3299999999999994E-2</v>
      </c>
    </row>
    <row r="11" spans="1:23" ht="16" thickBot="1" x14ac:dyDescent="0.25">
      <c r="A11" s="6" t="s">
        <v>6</v>
      </c>
      <c r="B11" s="13"/>
      <c r="C11" s="42">
        <f>+SUM(C27:W27)</f>
        <v>306492270.30772012</v>
      </c>
    </row>
    <row r="13" spans="1:23" s="12" customFormat="1" x14ac:dyDescent="0.2">
      <c r="A13" s="210" t="s">
        <v>1</v>
      </c>
      <c r="B13" s="210"/>
      <c r="C13" s="210">
        <v>0</v>
      </c>
      <c r="D13" s="210">
        <v>1</v>
      </c>
      <c r="E13" s="210">
        <f t="shared" ref="E13:W13" si="0">+D13+1</f>
        <v>2</v>
      </c>
      <c r="F13" s="210">
        <f t="shared" si="0"/>
        <v>3</v>
      </c>
      <c r="G13" s="210">
        <f t="shared" si="0"/>
        <v>4</v>
      </c>
      <c r="H13" s="210">
        <f t="shared" si="0"/>
        <v>5</v>
      </c>
      <c r="I13" s="210">
        <f t="shared" si="0"/>
        <v>6</v>
      </c>
      <c r="J13" s="210">
        <f t="shared" si="0"/>
        <v>7</v>
      </c>
      <c r="K13" s="210">
        <f t="shared" si="0"/>
        <v>8</v>
      </c>
      <c r="L13" s="210">
        <f t="shared" si="0"/>
        <v>9</v>
      </c>
      <c r="M13" s="210">
        <f t="shared" si="0"/>
        <v>10</v>
      </c>
      <c r="N13" s="210">
        <f t="shared" si="0"/>
        <v>11</v>
      </c>
      <c r="O13" s="210">
        <f t="shared" si="0"/>
        <v>12</v>
      </c>
      <c r="P13" s="210">
        <f t="shared" si="0"/>
        <v>13</v>
      </c>
      <c r="Q13" s="210">
        <f t="shared" si="0"/>
        <v>14</v>
      </c>
      <c r="R13" s="210">
        <f t="shared" si="0"/>
        <v>15</v>
      </c>
      <c r="S13" s="210">
        <f t="shared" si="0"/>
        <v>16</v>
      </c>
      <c r="T13" s="210">
        <f t="shared" si="0"/>
        <v>17</v>
      </c>
      <c r="U13" s="210">
        <f t="shared" si="0"/>
        <v>18</v>
      </c>
      <c r="V13" s="210">
        <f t="shared" si="0"/>
        <v>19</v>
      </c>
      <c r="W13" s="210">
        <f t="shared" si="0"/>
        <v>20</v>
      </c>
    </row>
    <row r="15" spans="1:23" x14ac:dyDescent="0.2">
      <c r="A15" t="s">
        <v>7</v>
      </c>
      <c r="C15" s="2">
        <v>0</v>
      </c>
      <c r="D15" s="2">
        <v>0.35</v>
      </c>
      <c r="E15" s="2">
        <v>0.45</v>
      </c>
      <c r="F15" s="2">
        <v>0.55000000000000004</v>
      </c>
      <c r="G15" s="2">
        <v>0.65</v>
      </c>
      <c r="H15" s="2">
        <v>0.75</v>
      </c>
      <c r="I15" s="2">
        <v>0.8</v>
      </c>
      <c r="J15" s="2">
        <v>0.85</v>
      </c>
      <c r="K15" s="2">
        <v>0.9</v>
      </c>
      <c r="L15" s="2">
        <v>0.95</v>
      </c>
      <c r="M15" s="2">
        <v>1</v>
      </c>
      <c r="N15" s="2">
        <v>1</v>
      </c>
      <c r="O15" s="2">
        <v>1</v>
      </c>
      <c r="P15" s="2">
        <v>1</v>
      </c>
      <c r="Q15" s="2">
        <v>1</v>
      </c>
      <c r="R15" s="2">
        <v>1</v>
      </c>
      <c r="S15" s="2">
        <v>1</v>
      </c>
      <c r="T15" s="2">
        <v>1</v>
      </c>
      <c r="U15" s="2">
        <v>1</v>
      </c>
      <c r="V15" s="2">
        <v>1</v>
      </c>
      <c r="W15" s="2">
        <v>1</v>
      </c>
    </row>
    <row r="16" spans="1:23" x14ac:dyDescent="0.2">
      <c r="A16" s="16"/>
      <c r="B16" s="16"/>
      <c r="C16" s="197"/>
      <c r="D16" s="41"/>
    </row>
    <row r="17" spans="1:24" x14ac:dyDescent="0.2">
      <c r="A17" t="s">
        <v>155</v>
      </c>
      <c r="C17" s="3"/>
      <c r="D17" s="40">
        <f>+$C$5*$C$4*D15*'Costo fiscal Estado Nac'!$D$30</f>
        <v>2867347.0556891109</v>
      </c>
      <c r="E17" s="40">
        <f>+$C$5*$C$4*E15*'Costo fiscal Estado Nac'!$D$30</f>
        <v>3686589.0716002858</v>
      </c>
      <c r="F17" s="40">
        <f>+$C$5*$C$4*F15*'Costo fiscal Estado Nac'!$D$30</f>
        <v>4505831.0875114612</v>
      </c>
      <c r="G17" s="40">
        <f>+$C$5*$C$4*G15*'Costo fiscal Estado Nac'!$D$30</f>
        <v>5325073.1034226352</v>
      </c>
      <c r="H17" s="40">
        <f>+$C$5*$C$4*H15*'Costo fiscal Estado Nac'!$D$30</f>
        <v>6144315.1193338102</v>
      </c>
      <c r="I17" s="40">
        <f>+$C$5*$C$4*I15*'Costo fiscal Estado Nac'!$D$30</f>
        <v>6553936.1272893976</v>
      </c>
      <c r="J17" s="40">
        <f>+$C$5*$C$4*J15*'Costo fiscal Estado Nac'!$D$30</f>
        <v>6963557.1352449842</v>
      </c>
      <c r="K17" s="40">
        <f>+$C$5*$C$4*K15*'Costo fiscal Estado Nac'!$D$30</f>
        <v>7373178.1432005716</v>
      </c>
      <c r="L17" s="40">
        <f>+$C$5*$C$4*L15*'Costo fiscal Estado Nac'!$D$30</f>
        <v>7782799.1511561591</v>
      </c>
      <c r="M17" s="40">
        <f>+$C$5*$C$4*M15*'Costo fiscal Estado Nac'!$D$30</f>
        <v>8192420.1591117466</v>
      </c>
      <c r="N17" s="40">
        <f>+$C$5*$C$4*N15*'Costo fiscal Estado Nac'!$D$30</f>
        <v>8192420.1591117466</v>
      </c>
      <c r="O17" s="40">
        <f>+$C$5*$C$4*O15*'Costo fiscal Estado Nac'!$D$30</f>
        <v>8192420.1591117466</v>
      </c>
      <c r="P17" s="40">
        <f>+$C$5*$C$4*P15*'Costo fiscal Estado Nac'!$D$30</f>
        <v>8192420.1591117466</v>
      </c>
      <c r="Q17" s="40">
        <f>+$C$5*$C$4*Q15*'Costo fiscal Estado Nac'!$D$30</f>
        <v>8192420.1591117466</v>
      </c>
      <c r="R17" s="40">
        <f>+$C$5*$C$4*R15*'Costo fiscal Estado Nac'!$D$30</f>
        <v>8192420.1591117466</v>
      </c>
      <c r="S17" s="40">
        <f>+$C$5*$C$4*S15*'Costo fiscal Estado Nac'!$D$30</f>
        <v>8192420.1591117466</v>
      </c>
      <c r="T17" s="40">
        <f>+$C$5*$C$4*T15*'Costo fiscal Estado Nac'!$D$30</f>
        <v>8192420.1591117466</v>
      </c>
      <c r="U17" s="40">
        <f>+$C$5*$C$4*U15*'Costo fiscal Estado Nac'!$D$30</f>
        <v>8192420.1591117466</v>
      </c>
      <c r="V17" s="40">
        <f>+$C$5*$C$4*V15*'Costo fiscal Estado Nac'!$D$30</f>
        <v>8192420.1591117466</v>
      </c>
      <c r="W17" s="40">
        <f>+$C$5*$C$4*W15*'Costo fiscal Estado Nac'!$D$30</f>
        <v>8192420.1591117466</v>
      </c>
    </row>
    <row r="18" spans="1:24" x14ac:dyDescent="0.2">
      <c r="A18" t="s">
        <v>3</v>
      </c>
      <c r="C18" s="3"/>
      <c r="D18" s="40">
        <f t="shared" ref="D18:W18" si="1">+$C$8*(D15-C15)*$C$4</f>
        <v>77936640.249999985</v>
      </c>
      <c r="E18" s="40">
        <f t="shared" si="1"/>
        <v>22267611.500000007</v>
      </c>
      <c r="F18" s="40">
        <f t="shared" si="1"/>
        <v>22267611.500000007</v>
      </c>
      <c r="G18" s="40">
        <f t="shared" si="1"/>
        <v>22267611.499999996</v>
      </c>
      <c r="H18" s="40">
        <f t="shared" si="1"/>
        <v>22267611.499999996</v>
      </c>
      <c r="I18" s="40">
        <f t="shared" si="1"/>
        <v>11133805.750000011</v>
      </c>
      <c r="J18" s="40">
        <f t="shared" si="1"/>
        <v>11133805.749999985</v>
      </c>
      <c r="K18" s="40">
        <f t="shared" si="1"/>
        <v>11133805.750000011</v>
      </c>
      <c r="L18" s="40">
        <f t="shared" si="1"/>
        <v>11133805.749999985</v>
      </c>
      <c r="M18" s="40">
        <f t="shared" si="1"/>
        <v>11133805.750000011</v>
      </c>
      <c r="N18" s="40">
        <f t="shared" si="1"/>
        <v>0</v>
      </c>
      <c r="O18" s="40">
        <f t="shared" si="1"/>
        <v>0</v>
      </c>
      <c r="P18" s="40">
        <f t="shared" si="1"/>
        <v>0</v>
      </c>
      <c r="Q18" s="40">
        <f t="shared" si="1"/>
        <v>0</v>
      </c>
      <c r="R18" s="40">
        <f t="shared" si="1"/>
        <v>0</v>
      </c>
      <c r="S18" s="40">
        <f t="shared" si="1"/>
        <v>0</v>
      </c>
      <c r="T18" s="40">
        <f t="shared" si="1"/>
        <v>0</v>
      </c>
      <c r="U18" s="40">
        <f t="shared" si="1"/>
        <v>0</v>
      </c>
      <c r="V18" s="40">
        <f t="shared" si="1"/>
        <v>0</v>
      </c>
      <c r="W18" s="40">
        <f t="shared" si="1"/>
        <v>0</v>
      </c>
    </row>
    <row r="19" spans="1:24" x14ac:dyDescent="0.2">
      <c r="C19" s="3"/>
      <c r="D19" s="3"/>
      <c r="E19" s="3"/>
      <c r="F19" s="3"/>
      <c r="G19" s="3"/>
      <c r="H19" s="3"/>
      <c r="I19" s="3"/>
      <c r="J19" s="3"/>
      <c r="K19" s="3"/>
      <c r="L19" s="3"/>
      <c r="M19" s="3"/>
      <c r="N19" s="3"/>
      <c r="O19" s="3"/>
      <c r="P19" s="3"/>
      <c r="Q19" s="3"/>
      <c r="R19" s="3"/>
      <c r="S19" s="3"/>
      <c r="T19" s="3"/>
      <c r="U19" s="3"/>
      <c r="V19" s="3"/>
      <c r="W19" s="3"/>
    </row>
    <row r="20" spans="1:24" s="30" customFormat="1" x14ac:dyDescent="0.2">
      <c r="A20" s="30" t="s">
        <v>34</v>
      </c>
      <c r="C20" s="31"/>
      <c r="D20" s="40">
        <f>'Ahorro GLP-GN'!$C$14*D15*$C$4</f>
        <v>6351106.2032447243</v>
      </c>
      <c r="E20" s="40">
        <f>'Ahorro GLP-GN'!$C$14*E15*$C$4</f>
        <v>8165707.9756003609</v>
      </c>
      <c r="F20" s="40">
        <f>'Ahorro GLP-GN'!$C$14*F15*$C$4</f>
        <v>9980309.7479559965</v>
      </c>
      <c r="G20" s="40">
        <f>'Ahorro GLP-GN'!$C$14*G15*$C$4</f>
        <v>11794911.520311633</v>
      </c>
      <c r="H20" s="40">
        <f>'Ahorro GLP-GN'!$C$14*H15*$C$4</f>
        <v>13609513.29266727</v>
      </c>
      <c r="I20" s="40">
        <f>'Ahorro GLP-GN'!$C$14*I15*$C$4</f>
        <v>14516814.178845085</v>
      </c>
      <c r="J20" s="40">
        <f>'Ahorro GLP-GN'!$C$14*J15*$C$4</f>
        <v>15424115.065022904</v>
      </c>
      <c r="K20" s="40">
        <f>'Ahorro GLP-GN'!$C$14*K15*$C$4</f>
        <v>16331415.951200722</v>
      </c>
      <c r="L20" s="40">
        <f>'Ahorro GLP-GN'!$C$14*L15*$C$4</f>
        <v>17238716.837378539</v>
      </c>
      <c r="M20" s="40">
        <f>'Ahorro GLP-GN'!$C$14*M15*$C$4</f>
        <v>18146017.723556358</v>
      </c>
      <c r="N20" s="40">
        <f>'Ahorro GLP-GN'!$C$14*N15*$C$4</f>
        <v>18146017.723556358</v>
      </c>
      <c r="O20" s="40">
        <f>'Ahorro GLP-GN'!$C$14*O15*$C$4</f>
        <v>18146017.723556358</v>
      </c>
      <c r="P20" s="40">
        <f>'Ahorro GLP-GN'!$C$14*P15*$C$4</f>
        <v>18146017.723556358</v>
      </c>
      <c r="Q20" s="40">
        <f>'Ahorro GLP-GN'!$C$14*Q15*$C$4</f>
        <v>18146017.723556358</v>
      </c>
      <c r="R20" s="40">
        <f>'Ahorro GLP-GN'!$C$14*R15*$C$4</f>
        <v>18146017.723556358</v>
      </c>
      <c r="S20" s="40">
        <f>'Ahorro GLP-GN'!$C$14*S15*$C$4</f>
        <v>18146017.723556358</v>
      </c>
      <c r="T20" s="40">
        <f>'Ahorro GLP-GN'!$C$14*T15*$C$4</f>
        <v>18146017.723556358</v>
      </c>
      <c r="U20" s="40">
        <f>'Ahorro GLP-GN'!$C$14*U15*$C$4</f>
        <v>18146017.723556358</v>
      </c>
      <c r="V20" s="40">
        <f>'Ahorro GLP-GN'!$C$14*V15*$C$4</f>
        <v>18146017.723556358</v>
      </c>
      <c r="W20" s="40">
        <f>'Ahorro GLP-GN'!$C$14*W15*$C$4</f>
        <v>18146017.723556358</v>
      </c>
      <c r="X20"/>
    </row>
    <row r="21" spans="1:24" x14ac:dyDescent="0.2">
      <c r="A21" s="30" t="s">
        <v>156</v>
      </c>
      <c r="C21" s="3"/>
      <c r="D21" s="40">
        <f>+$C$4*D15*'Ahorro GLP-GN'!$E$14</f>
        <v>3368301.2117999983</v>
      </c>
      <c r="E21" s="40">
        <f>+$C$4*E15*'Ahorro GLP-GN'!$E$14</f>
        <v>4330672.9865999976</v>
      </c>
      <c r="F21" s="40">
        <f>+$C$4*F15*'Ahorro GLP-GN'!$E$14</f>
        <v>5293044.7613999974</v>
      </c>
      <c r="G21" s="40">
        <f>+$C$4*G15*'Ahorro GLP-GN'!$E$14</f>
        <v>6255416.5361999962</v>
      </c>
      <c r="H21" s="40">
        <f>+$C$4*H15*'Ahorro GLP-GN'!$E$14</f>
        <v>7217788.310999996</v>
      </c>
      <c r="I21" s="40">
        <f>+$C$4*I15*'Ahorro GLP-GN'!$E$14</f>
        <v>7698974.1983999955</v>
      </c>
      <c r="J21" s="40">
        <f>+$C$4*J15*'Ahorro GLP-GN'!$E$14</f>
        <v>8180160.0857999949</v>
      </c>
      <c r="K21" s="40">
        <f>+$C$4*K15*'Ahorro GLP-GN'!$E$14</f>
        <v>8661345.9731999952</v>
      </c>
      <c r="L21" s="40">
        <f>+$C$4*L15*'Ahorro GLP-GN'!$E$14</f>
        <v>9142531.8605999947</v>
      </c>
      <c r="M21" s="40">
        <f>+$C$4*M15*'Ahorro GLP-GN'!$E$14</f>
        <v>9623717.7479999941</v>
      </c>
      <c r="N21" s="40">
        <f>+$C$4*N15*'Ahorro GLP-GN'!$E$14</f>
        <v>9623717.7479999941</v>
      </c>
      <c r="O21" s="40">
        <f>+$C$4*O15*'Ahorro GLP-GN'!$E$14</f>
        <v>9623717.7479999941</v>
      </c>
      <c r="P21" s="40">
        <f>+$C$4*P15*'Ahorro GLP-GN'!$E$14</f>
        <v>9623717.7479999941</v>
      </c>
      <c r="Q21" s="40">
        <f>+$C$4*Q15*'Ahorro GLP-GN'!$E$14</f>
        <v>9623717.7479999941</v>
      </c>
      <c r="R21" s="40">
        <f>+$C$4*R15*'Ahorro GLP-GN'!$E$14</f>
        <v>9623717.7479999941</v>
      </c>
      <c r="S21" s="40">
        <f>+$C$4*S15*'Ahorro GLP-GN'!$E$14</f>
        <v>9623717.7479999941</v>
      </c>
      <c r="T21" s="40">
        <f>+$C$4*T15*'Ahorro GLP-GN'!$E$14</f>
        <v>9623717.7479999941</v>
      </c>
      <c r="U21" s="40">
        <f>+$C$4*U15*'Ahorro GLP-GN'!$E$14</f>
        <v>9623717.7479999941</v>
      </c>
      <c r="V21" s="40">
        <f>+$C$4*V15*'Ahorro GLP-GN'!$E$14</f>
        <v>9623717.7479999941</v>
      </c>
      <c r="W21" s="40">
        <f>+$C$4*W15*'Ahorro GLP-GN'!$E$14</f>
        <v>9623717.7479999941</v>
      </c>
    </row>
    <row r="22" spans="1:24" x14ac:dyDescent="0.2">
      <c r="A22" t="s">
        <v>214</v>
      </c>
      <c r="C22" s="3"/>
      <c r="D22" s="40">
        <f>+$C$6*(Metodologia!$B$5-Metodologia!$B$7)*(D15-C15)</f>
        <v>159764354.40000018</v>
      </c>
      <c r="E22" s="40">
        <f>+$C$6*(Metodologia!$B$5-Metodologia!$B$7)*(E15-D15)</f>
        <v>45646958.400000073</v>
      </c>
      <c r="F22" s="40">
        <f>+$C$6*(Metodologia!$B$5-Metodologia!$B$7)*(F15-E15)</f>
        <v>45646958.400000073</v>
      </c>
      <c r="G22" s="40">
        <f>+$C$6*(Metodologia!$B$5-Metodologia!$B$7)*(G15-F15)</f>
        <v>45646958.400000051</v>
      </c>
      <c r="H22" s="40">
        <f>+$C$6*(Metodologia!$B$5-Metodologia!$B$7)*(H15-G15)</f>
        <v>45646958.400000051</v>
      </c>
      <c r="I22" s="40">
        <f>+$C$6*(Metodologia!$B$5-Metodologia!$B$7)*(I15-H15)</f>
        <v>22823479.200000051</v>
      </c>
      <c r="J22" s="40">
        <f>+$C$6*(Metodologia!$B$5-Metodologia!$B$7)*(J15-I15)</f>
        <v>22823479.199999999</v>
      </c>
      <c r="K22" s="40">
        <f>+$C$6*(Metodologia!$B$5-Metodologia!$B$7)*(K15-J15)</f>
        <v>22823479.200000051</v>
      </c>
      <c r="L22" s="40">
        <f>+$C$6*(Metodologia!$B$5-Metodologia!$B$7)*(L15-K15)</f>
        <v>22823479.199999999</v>
      </c>
      <c r="M22" s="40">
        <f>+$C$6*(Metodologia!$B$5-Metodologia!$B$7)*(M15-L15)</f>
        <v>22823479.200000051</v>
      </c>
      <c r="N22" s="40">
        <f>+$C$6*(Metodologia!$B$5-Metodologia!$B$7)*(N15-M15)</f>
        <v>0</v>
      </c>
      <c r="O22" s="40">
        <f>+$C$6*(Metodologia!$B$5-Metodologia!$B$7)*(O15-N15)</f>
        <v>0</v>
      </c>
      <c r="P22" s="40">
        <f>+$C$6*(Metodologia!$B$5-Metodologia!$B$7)*(P15-O15)</f>
        <v>0</v>
      </c>
      <c r="Q22" s="40">
        <f>+$C$6*(Metodologia!$B$5-Metodologia!$B$7)*(Q15-P15)</f>
        <v>0</v>
      </c>
      <c r="R22" s="40">
        <f>+$C$6*(Metodologia!$B$5-Metodologia!$B$7)*(R15-Q15)</f>
        <v>0</v>
      </c>
      <c r="S22" s="40">
        <f>+$C$6*(Metodologia!$B$5-Metodologia!$B$7)*(S15-R15)</f>
        <v>0</v>
      </c>
      <c r="T22" s="40">
        <f>+$C$6*(Metodologia!$B$5-Metodologia!$B$7)*(T15-S15)</f>
        <v>0</v>
      </c>
      <c r="U22" s="40">
        <f>+$C$6*(Metodologia!$B$5-Metodologia!$B$7)*(U15-T15)</f>
        <v>0</v>
      </c>
      <c r="V22" s="40">
        <f>+$C$6*(Metodologia!$B$5-Metodologia!$B$7)*(V15-U15)</f>
        <v>0</v>
      </c>
      <c r="W22" s="40">
        <f>+$C$6*(Metodologia!$B$5-Metodologia!$B$7)*(W15-V15)</f>
        <v>0</v>
      </c>
    </row>
    <row r="23" spans="1:24" x14ac:dyDescent="0.2">
      <c r="C23" s="3"/>
      <c r="D23" s="3"/>
      <c r="E23" s="3"/>
      <c r="F23" s="3"/>
      <c r="G23" s="3"/>
      <c r="H23" s="3"/>
      <c r="I23" s="3"/>
      <c r="J23" s="3"/>
      <c r="K23" s="3"/>
      <c r="L23" s="3"/>
      <c r="M23" s="3"/>
      <c r="N23" s="3"/>
      <c r="O23" s="3"/>
      <c r="P23" s="3"/>
      <c r="Q23" s="3"/>
      <c r="R23" s="3"/>
      <c r="S23" s="3"/>
      <c r="T23" s="3"/>
      <c r="U23" s="3"/>
      <c r="V23" s="3"/>
      <c r="W23" s="3"/>
    </row>
    <row r="24" spans="1:24" x14ac:dyDescent="0.2">
      <c r="C24" s="3"/>
      <c r="D24" s="3"/>
      <c r="E24" s="3"/>
      <c r="F24" s="3"/>
      <c r="G24" s="3"/>
      <c r="H24" s="3"/>
      <c r="I24" s="3"/>
      <c r="J24" s="3"/>
      <c r="K24" s="3"/>
      <c r="L24" s="3"/>
      <c r="M24" s="3"/>
      <c r="N24" s="3"/>
      <c r="O24" s="3"/>
      <c r="P24" s="3"/>
      <c r="Q24" s="3"/>
      <c r="R24" s="3"/>
      <c r="S24" s="3"/>
      <c r="T24" s="3"/>
      <c r="U24" s="3"/>
      <c r="V24" s="3"/>
      <c r="W24" s="3"/>
    </row>
    <row r="25" spans="1:24" x14ac:dyDescent="0.2">
      <c r="A25" t="s">
        <v>4</v>
      </c>
      <c r="C25" s="40">
        <f>+SUM(C16,C18:C18,C20,C22)</f>
        <v>0</v>
      </c>
      <c r="D25" s="40">
        <f>+SUM(D20:D22)-SUM(D16:D18)</f>
        <v>88679774.509355813</v>
      </c>
      <c r="E25" s="40">
        <f>+SUM(E20:E22)-SUM(E16:E18)</f>
        <v>32189138.79060014</v>
      </c>
      <c r="F25" s="40">
        <f>+SUM(F20:F22)-SUM(F16:F18)</f>
        <v>34146870.321844593</v>
      </c>
      <c r="G25" s="40">
        <f>+SUM(G20:G22)-SUM(G16:G18)</f>
        <v>36104601.853089049</v>
      </c>
      <c r="H25" s="40">
        <f>+SUM(H20:H22)-SUM(H16:H18)</f>
        <v>38062333.384333506</v>
      </c>
      <c r="I25" s="40">
        <f t="shared" ref="I25:W25" si="2">+SUM(I20:I22)-SUM(I16:I18)</f>
        <v>27351525.699955724</v>
      </c>
      <c r="J25" s="40">
        <f t="shared" si="2"/>
        <v>28330391.465577926</v>
      </c>
      <c r="K25" s="40">
        <f t="shared" si="2"/>
        <v>29309257.231200181</v>
      </c>
      <c r="L25" s="40">
        <f t="shared" si="2"/>
        <v>30288122.996822387</v>
      </c>
      <c r="M25" s="40">
        <f>+SUM(M20:M22)-SUM(M16:M18)</f>
        <v>31266988.762444641</v>
      </c>
      <c r="N25" s="40">
        <f t="shared" si="2"/>
        <v>19577315.312444605</v>
      </c>
      <c r="O25" s="40">
        <f t="shared" si="2"/>
        <v>19577315.312444605</v>
      </c>
      <c r="P25" s="40">
        <f t="shared" si="2"/>
        <v>19577315.312444605</v>
      </c>
      <c r="Q25" s="40">
        <f t="shared" si="2"/>
        <v>19577315.312444605</v>
      </c>
      <c r="R25" s="40">
        <f>+SUM(R20:R22)-SUM(R16:R18)</f>
        <v>19577315.312444605</v>
      </c>
      <c r="S25" s="40">
        <f t="shared" si="2"/>
        <v>19577315.312444605</v>
      </c>
      <c r="T25" s="40">
        <f t="shared" si="2"/>
        <v>19577315.312444605</v>
      </c>
      <c r="U25" s="40">
        <f t="shared" si="2"/>
        <v>19577315.312444605</v>
      </c>
      <c r="V25" s="40">
        <f t="shared" si="2"/>
        <v>19577315.312444605</v>
      </c>
      <c r="W25" s="40">
        <f t="shared" si="2"/>
        <v>19577315.312444605</v>
      </c>
    </row>
    <row r="26" spans="1:24" x14ac:dyDescent="0.2">
      <c r="A26" t="s">
        <v>9</v>
      </c>
      <c r="C26" s="10">
        <f t="shared" ref="C26:W26" si="3">1/(1+$C$10)^C13</f>
        <v>1</v>
      </c>
      <c r="D26" s="10">
        <f t="shared" si="3"/>
        <v>0.91466203237903598</v>
      </c>
      <c r="E26" s="10">
        <f t="shared" si="3"/>
        <v>0.83660663347574871</v>
      </c>
      <c r="F26" s="10">
        <f t="shared" si="3"/>
        <v>0.76521232367671166</v>
      </c>
      <c r="G26" s="10">
        <f t="shared" si="3"/>
        <v>0.69991065917562578</v>
      </c>
      <c r="H26" s="10">
        <f t="shared" si="3"/>
        <v>0.64018170600532864</v>
      </c>
      <c r="I26" s="10">
        <f t="shared" si="3"/>
        <v>0.58554990030671239</v>
      </c>
      <c r="J26" s="10">
        <f t="shared" si="3"/>
        <v>0.53558026187387953</v>
      </c>
      <c r="K26" s="10">
        <f t="shared" si="3"/>
        <v>0.48987493082765893</v>
      </c>
      <c r="L26" s="10">
        <f t="shared" si="3"/>
        <v>0.44806999984236617</v>
      </c>
      <c r="M26" s="10">
        <f t="shared" si="3"/>
        <v>0.40983261670389304</v>
      </c>
      <c r="N26" s="10">
        <f t="shared" si="3"/>
        <v>0.37485833412960123</v>
      </c>
      <c r="O26" s="10">
        <f t="shared" si="3"/>
        <v>0.34286868574920082</v>
      </c>
      <c r="P26" s="10">
        <f t="shared" si="3"/>
        <v>0.31360896894649309</v>
      </c>
      <c r="Q26" s="10">
        <f t="shared" si="3"/>
        <v>0.28684621690889334</v>
      </c>
      <c r="R26" s="10">
        <f t="shared" si="3"/>
        <v>0.26236734373812615</v>
      </c>
      <c r="S26" s="10">
        <f t="shared" si="3"/>
        <v>0.23997744785340364</v>
      </c>
      <c r="T26" s="10">
        <f t="shared" si="3"/>
        <v>0.21949826017872831</v>
      </c>
      <c r="U26" s="10">
        <f t="shared" si="3"/>
        <v>0.20076672475873805</v>
      </c>
      <c r="V26" s="10">
        <f t="shared" si="3"/>
        <v>0.18363370050190989</v>
      </c>
      <c r="W26" s="10">
        <f t="shared" si="3"/>
        <v>0.16796277371436008</v>
      </c>
    </row>
    <row r="27" spans="1:24" x14ac:dyDescent="0.2">
      <c r="A27" t="s">
        <v>8</v>
      </c>
      <c r="C27" s="40">
        <f t="shared" ref="C27:H27" si="4">+C26*C25</f>
        <v>0</v>
      </c>
      <c r="D27" s="40">
        <f t="shared" si="4"/>
        <v>81112022.783642024</v>
      </c>
      <c r="E27" s="40">
        <f t="shared" si="4"/>
        <v>26929647.038087618</v>
      </c>
      <c r="F27" s="40">
        <f t="shared" si="4"/>
        <v>26129605.985266045</v>
      </c>
      <c r="G27" s="40">
        <f t="shared" si="4"/>
        <v>25269995.682269078</v>
      </c>
      <c r="H27" s="40">
        <f t="shared" si="4"/>
        <v>24366809.520526197</v>
      </c>
      <c r="I27" s="40">
        <f t="shared" ref="I27:V27" si="5">+I26*I25</f>
        <v>16015683.146845557</v>
      </c>
      <c r="J27" s="40">
        <f t="shared" si="5"/>
        <v>15173198.480123747</v>
      </c>
      <c r="K27" s="40">
        <f t="shared" si="5"/>
        <v>14357870.358744251</v>
      </c>
      <c r="L27" s="40">
        <f t="shared" si="5"/>
        <v>13571199.266411774</v>
      </c>
      <c r="M27" s="40">
        <f>+M26*M25</f>
        <v>12814231.820963906</v>
      </c>
      <c r="N27" s="40">
        <f t="shared" si="5"/>
        <v>7338719.804752918</v>
      </c>
      <c r="O27" s="40">
        <f t="shared" si="5"/>
        <v>6712448.3716755863</v>
      </c>
      <c r="P27" s="40">
        <f t="shared" si="5"/>
        <v>6139621.6698761443</v>
      </c>
      <c r="Q27" s="40">
        <f t="shared" si="5"/>
        <v>5615678.8346072845</v>
      </c>
      <c r="R27" s="40">
        <f>+R26*R25</f>
        <v>5136448.2160498342</v>
      </c>
      <c r="S27" s="40">
        <f t="shared" si="5"/>
        <v>4698114.164501816</v>
      </c>
      <c r="T27" s="40">
        <f t="shared" si="5"/>
        <v>4297186.6500519672</v>
      </c>
      <c r="U27" s="40">
        <f t="shared" si="5"/>
        <v>3930473.4748485941</v>
      </c>
      <c r="V27" s="40">
        <f t="shared" si="5"/>
        <v>3595054.8567169071</v>
      </c>
      <c r="W27" s="40">
        <f>+W26*W25</f>
        <v>3288260.1817588098</v>
      </c>
      <c r="X27" s="41"/>
    </row>
    <row r="28" spans="1:24" x14ac:dyDescent="0.2">
      <c r="C28" s="41"/>
      <c r="D28" s="41"/>
      <c r="E28" s="41"/>
      <c r="F28" s="41"/>
      <c r="G28" s="41"/>
      <c r="H28" s="41"/>
      <c r="I28" s="41"/>
      <c r="J28" s="41"/>
      <c r="K28" s="41"/>
      <c r="L28" s="41"/>
      <c r="M28" s="41"/>
      <c r="N28" s="41"/>
      <c r="O28" s="41"/>
      <c r="P28" s="41"/>
      <c r="Q28" s="41"/>
      <c r="R28" s="41"/>
      <c r="S28" s="41"/>
      <c r="T28" s="41"/>
      <c r="U28" s="41"/>
      <c r="V28" s="41"/>
      <c r="W28" s="41"/>
      <c r="X28" s="41"/>
    </row>
    <row r="29" spans="1:24" x14ac:dyDescent="0.2">
      <c r="D29" s="2"/>
    </row>
    <row r="31" spans="1:24" x14ac:dyDescent="0.2">
      <c r="D31" s="37"/>
    </row>
    <row r="32" spans="1:24" x14ac:dyDescent="0.2">
      <c r="F32" s="38"/>
    </row>
  </sheetData>
  <sheetProtection algorithmName="SHA-512" hashValue="Vqs1p0vW0umLSvhcLRbQi8nRzS9lwI8pamVDlvaH6M3x9axSpn8O62Y59NxGjZtQTJKl9ojExOWrAdnxwTrrYQ==" saltValue="m/A4yxQzC9gG+4iTONyCMw==" spinCount="100000" sheet="1" objects="1" scenarios="1"/>
  <pageMargins left="0.7" right="0.7" top="0.75" bottom="0.75" header="0.3" footer="0.3"/>
  <pageSetup paperSize="9" scale="2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33"/>
  <sheetViews>
    <sheetView showGridLines="0" zoomScale="85" zoomScaleNormal="85" workbookViewId="0">
      <selection activeCell="D32" sqref="D32"/>
    </sheetView>
  </sheetViews>
  <sheetFormatPr baseColWidth="10" defaultRowHeight="15" x14ac:dyDescent="0.2"/>
  <cols>
    <col min="1" max="1" width="37.5" bestFit="1" customWidth="1"/>
    <col min="2" max="2" width="3.83203125" customWidth="1"/>
    <col min="3" max="3" width="19" customWidth="1"/>
    <col min="4" max="4" width="17.83203125" customWidth="1"/>
    <col min="5" max="5" width="15.6640625" customWidth="1"/>
    <col min="6" max="6" width="16.33203125" customWidth="1"/>
    <col min="7" max="7" width="15.1640625" customWidth="1"/>
    <col min="8" max="8" width="15.5" customWidth="1"/>
    <col min="9" max="9" width="14.33203125" hidden="1" customWidth="1"/>
    <col min="10" max="10" width="12.83203125" hidden="1" customWidth="1"/>
    <col min="11" max="11" width="17.33203125" hidden="1" customWidth="1"/>
    <col min="12" max="12" width="14.33203125" hidden="1" customWidth="1"/>
    <col min="13" max="13" width="14.5" bestFit="1" customWidth="1"/>
    <col min="14" max="17" width="14.33203125" hidden="1" customWidth="1"/>
    <col min="18" max="18" width="14.33203125" bestFit="1" customWidth="1"/>
    <col min="19" max="22" width="14.33203125" hidden="1" customWidth="1"/>
    <col min="23" max="23" width="14.83203125" bestFit="1" customWidth="1"/>
    <col min="24" max="24" width="14.6640625" bestFit="1" customWidth="1"/>
  </cols>
  <sheetData>
    <row r="1" spans="1:23" ht="16" thickBot="1" x14ac:dyDescent="0.25"/>
    <row r="2" spans="1:23" x14ac:dyDescent="0.2">
      <c r="A2" s="4" t="s">
        <v>0</v>
      </c>
      <c r="B2" s="11"/>
      <c r="C2" s="7" t="s">
        <v>216</v>
      </c>
    </row>
    <row r="3" spans="1:23" x14ac:dyDescent="0.2">
      <c r="A3" s="5" t="s">
        <v>153</v>
      </c>
      <c r="B3" s="12"/>
      <c r="C3" s="8">
        <v>157000</v>
      </c>
    </row>
    <row r="4" spans="1:23" x14ac:dyDescent="0.2">
      <c r="A4" s="5" t="s">
        <v>2</v>
      </c>
      <c r="B4" s="12"/>
      <c r="C4" s="8">
        <f>+Resumen!C5</f>
        <v>8062</v>
      </c>
    </row>
    <row r="5" spans="1:23" x14ac:dyDescent="0.2">
      <c r="A5" s="5" t="s">
        <v>154</v>
      </c>
      <c r="B5" s="12"/>
      <c r="C5" s="8">
        <f>+'Ahorro GLP-GN'!H3</f>
        <v>800</v>
      </c>
    </row>
    <row r="6" spans="1:23" x14ac:dyDescent="0.2">
      <c r="A6" s="5" t="s">
        <v>30</v>
      </c>
      <c r="B6" s="12"/>
      <c r="C6" s="8">
        <f>+C4</f>
        <v>8062</v>
      </c>
    </row>
    <row r="7" spans="1:23" x14ac:dyDescent="0.2">
      <c r="A7" s="5" t="s">
        <v>129</v>
      </c>
      <c r="B7" s="12"/>
      <c r="C7" s="123">
        <f>+Resumen!D5</f>
        <v>31837722</v>
      </c>
    </row>
    <row r="8" spans="1:23" ht="16" thickBot="1" x14ac:dyDescent="0.25">
      <c r="A8" s="6" t="s">
        <v>37</v>
      </c>
      <c r="B8" s="13"/>
      <c r="C8" s="9">
        <f>+Metodologia!B14</f>
        <v>33161</v>
      </c>
    </row>
    <row r="9" spans="1:23" ht="16" thickBot="1" x14ac:dyDescent="0.25"/>
    <row r="10" spans="1:23" x14ac:dyDescent="0.2">
      <c r="A10" s="4" t="s">
        <v>5</v>
      </c>
      <c r="B10" s="11"/>
      <c r="C10" s="43">
        <v>9.3299999999999994E-2</v>
      </c>
    </row>
    <row r="11" spans="1:23" ht="16" thickBot="1" x14ac:dyDescent="0.25">
      <c r="A11" s="6" t="s">
        <v>6</v>
      </c>
      <c r="B11" s="13"/>
      <c r="C11" s="42">
        <f>+SUM(C27:W27)</f>
        <v>367973296.0864988</v>
      </c>
    </row>
    <row r="13" spans="1:23" s="12" customFormat="1" x14ac:dyDescent="0.2">
      <c r="A13" s="210" t="s">
        <v>1</v>
      </c>
      <c r="B13" s="210"/>
      <c r="C13" s="210">
        <v>0</v>
      </c>
      <c r="D13" s="210">
        <v>1</v>
      </c>
      <c r="E13" s="210">
        <f t="shared" ref="E13:W13" si="0">+D13+1</f>
        <v>2</v>
      </c>
      <c r="F13" s="210">
        <f t="shared" si="0"/>
        <v>3</v>
      </c>
      <c r="G13" s="210">
        <f t="shared" si="0"/>
        <v>4</v>
      </c>
      <c r="H13" s="210">
        <f t="shared" si="0"/>
        <v>5</v>
      </c>
      <c r="I13" s="210">
        <f t="shared" si="0"/>
        <v>6</v>
      </c>
      <c r="J13" s="210">
        <f t="shared" si="0"/>
        <v>7</v>
      </c>
      <c r="K13" s="210">
        <f t="shared" si="0"/>
        <v>8</v>
      </c>
      <c r="L13" s="210">
        <f t="shared" si="0"/>
        <v>9</v>
      </c>
      <c r="M13" s="210">
        <f t="shared" si="0"/>
        <v>10</v>
      </c>
      <c r="N13" s="210">
        <f t="shared" si="0"/>
        <v>11</v>
      </c>
      <c r="O13" s="210">
        <f t="shared" si="0"/>
        <v>12</v>
      </c>
      <c r="P13" s="210">
        <f t="shared" si="0"/>
        <v>13</v>
      </c>
      <c r="Q13" s="210">
        <f t="shared" si="0"/>
        <v>14</v>
      </c>
      <c r="R13" s="210">
        <f t="shared" si="0"/>
        <v>15</v>
      </c>
      <c r="S13" s="210">
        <f t="shared" si="0"/>
        <v>16</v>
      </c>
      <c r="T13" s="210">
        <f t="shared" si="0"/>
        <v>17</v>
      </c>
      <c r="U13" s="210">
        <f t="shared" si="0"/>
        <v>18</v>
      </c>
      <c r="V13" s="210">
        <f t="shared" si="0"/>
        <v>19</v>
      </c>
      <c r="W13" s="210">
        <f t="shared" si="0"/>
        <v>20</v>
      </c>
    </row>
    <row r="15" spans="1:23" x14ac:dyDescent="0.2">
      <c r="A15" t="s">
        <v>7</v>
      </c>
      <c r="C15" s="2">
        <v>0</v>
      </c>
      <c r="D15" s="2">
        <v>0.35</v>
      </c>
      <c r="E15" s="2">
        <v>0.45</v>
      </c>
      <c r="F15" s="2">
        <v>0.55000000000000004</v>
      </c>
      <c r="G15" s="2">
        <v>0.65</v>
      </c>
      <c r="H15" s="2">
        <v>0.75</v>
      </c>
      <c r="I15" s="2">
        <v>0.8</v>
      </c>
      <c r="J15" s="2">
        <v>0.85</v>
      </c>
      <c r="K15" s="2">
        <v>0.9</v>
      </c>
      <c r="L15" s="2">
        <v>0.95</v>
      </c>
      <c r="M15" s="2">
        <v>1</v>
      </c>
      <c r="N15" s="2">
        <v>1</v>
      </c>
      <c r="O15" s="2">
        <v>1</v>
      </c>
      <c r="P15" s="2">
        <v>1</v>
      </c>
      <c r="Q15" s="2">
        <v>1</v>
      </c>
      <c r="R15" s="2">
        <v>1</v>
      </c>
      <c r="S15" s="2">
        <v>1</v>
      </c>
      <c r="T15" s="2">
        <v>1</v>
      </c>
      <c r="U15" s="2">
        <v>1</v>
      </c>
      <c r="V15" s="2">
        <v>1</v>
      </c>
      <c r="W15" s="2">
        <v>1</v>
      </c>
    </row>
    <row r="16" spans="1:23" x14ac:dyDescent="0.2">
      <c r="A16" s="16"/>
      <c r="B16" s="16"/>
      <c r="C16" s="197"/>
      <c r="D16" s="41"/>
    </row>
    <row r="17" spans="1:24" x14ac:dyDescent="0.2">
      <c r="A17" t="s">
        <v>155</v>
      </c>
      <c r="C17" s="3"/>
      <c r="D17" s="40">
        <f>+$C$5*$C$4*D15*'Costo fiscal Estado Nac'!$D$30</f>
        <v>3442524.4918787214</v>
      </c>
      <c r="E17" s="40">
        <f>+$C$5*$C$4*E15*'Costo fiscal Estado Nac'!$D$30</f>
        <v>4426102.918129785</v>
      </c>
      <c r="F17" s="40">
        <f>+$C$5*$C$4*F15*'Costo fiscal Estado Nac'!$D$30</f>
        <v>5409681.344380849</v>
      </c>
      <c r="G17" s="40">
        <f>+$C$5*$C$4*G15*'Costo fiscal Estado Nac'!$D$30</f>
        <v>6393259.7706319112</v>
      </c>
      <c r="H17" s="40">
        <f>+$C$5*$C$4*H15*'Costo fiscal Estado Nac'!$D$30</f>
        <v>7376838.1968829744</v>
      </c>
      <c r="I17" s="40">
        <f>+$C$5*$C$4*I15*'Costo fiscal Estado Nac'!$D$30</f>
        <v>7868627.4100085059</v>
      </c>
      <c r="J17" s="40">
        <f>+$C$5*$C$4*J15*'Costo fiscal Estado Nac'!$D$30</f>
        <v>8360416.6231340384</v>
      </c>
      <c r="K17" s="40">
        <f>+$C$5*$C$4*K15*'Costo fiscal Estado Nac'!$D$30</f>
        <v>8852205.83625957</v>
      </c>
      <c r="L17" s="40">
        <f>+$C$5*$C$4*L15*'Costo fiscal Estado Nac'!$D$30</f>
        <v>9343995.0493851006</v>
      </c>
      <c r="M17" s="40">
        <f>+$C$5*$C$4*M15*'Costo fiscal Estado Nac'!$D$30</f>
        <v>9835784.2625106331</v>
      </c>
      <c r="N17" s="40">
        <f>+$C$5*$C$4*N15*'Costo fiscal Estado Nac'!$D$30</f>
        <v>9835784.2625106331</v>
      </c>
      <c r="O17" s="40">
        <f>+$C$5*$C$4*O15*'Costo fiscal Estado Nac'!$D$30</f>
        <v>9835784.2625106331</v>
      </c>
      <c r="P17" s="40">
        <f>+$C$5*$C$4*P15*'Costo fiscal Estado Nac'!$D$30</f>
        <v>9835784.2625106331</v>
      </c>
      <c r="Q17" s="40">
        <f>+$C$5*$C$4*Q15*'Costo fiscal Estado Nac'!$D$30</f>
        <v>9835784.2625106331</v>
      </c>
      <c r="R17" s="40">
        <f>+$C$5*$C$4*R15*'Costo fiscal Estado Nac'!$D$30</f>
        <v>9835784.2625106331</v>
      </c>
      <c r="S17" s="40">
        <f>+$C$5*$C$4*S15*'Costo fiscal Estado Nac'!$D$30</f>
        <v>9835784.2625106331</v>
      </c>
      <c r="T17" s="40">
        <f>+$C$5*$C$4*T15*'Costo fiscal Estado Nac'!$D$30</f>
        <v>9835784.2625106331</v>
      </c>
      <c r="U17" s="40">
        <f>+$C$5*$C$4*U15*'Costo fiscal Estado Nac'!$D$30</f>
        <v>9835784.2625106331</v>
      </c>
      <c r="V17" s="40">
        <f>+$C$5*$C$4*V15*'Costo fiscal Estado Nac'!$D$30</f>
        <v>9835784.2625106331</v>
      </c>
      <c r="W17" s="40">
        <f>+$C$5*$C$4*W15*'Costo fiscal Estado Nac'!$D$30</f>
        <v>9835784.2625106331</v>
      </c>
    </row>
    <row r="18" spans="1:24" x14ac:dyDescent="0.2">
      <c r="A18" t="s">
        <v>3</v>
      </c>
      <c r="C18" s="3"/>
      <c r="D18" s="40">
        <f t="shared" ref="D18:W18" si="1">+$C$8*(D15-C15)*$C$4</f>
        <v>93570393.699999988</v>
      </c>
      <c r="E18" s="40">
        <f t="shared" si="1"/>
        <v>26734398.20000001</v>
      </c>
      <c r="F18" s="40">
        <f t="shared" si="1"/>
        <v>26734398.20000001</v>
      </c>
      <c r="G18" s="40">
        <f t="shared" si="1"/>
        <v>26734398.199999996</v>
      </c>
      <c r="H18" s="40">
        <f t="shared" si="1"/>
        <v>26734398.199999996</v>
      </c>
      <c r="I18" s="40">
        <f t="shared" si="1"/>
        <v>13367199.100000013</v>
      </c>
      <c r="J18" s="40">
        <f t="shared" si="1"/>
        <v>13367199.099999981</v>
      </c>
      <c r="K18" s="40">
        <f t="shared" si="1"/>
        <v>13367199.100000013</v>
      </c>
      <c r="L18" s="40">
        <f t="shared" si="1"/>
        <v>13367199.099999981</v>
      </c>
      <c r="M18" s="40">
        <f t="shared" si="1"/>
        <v>13367199.100000013</v>
      </c>
      <c r="N18" s="40">
        <f t="shared" si="1"/>
        <v>0</v>
      </c>
      <c r="O18" s="40">
        <f t="shared" si="1"/>
        <v>0</v>
      </c>
      <c r="P18" s="40">
        <f t="shared" si="1"/>
        <v>0</v>
      </c>
      <c r="Q18" s="40">
        <f t="shared" si="1"/>
        <v>0</v>
      </c>
      <c r="R18" s="40">
        <f t="shared" si="1"/>
        <v>0</v>
      </c>
      <c r="S18" s="40">
        <f t="shared" si="1"/>
        <v>0</v>
      </c>
      <c r="T18" s="40">
        <f t="shared" si="1"/>
        <v>0</v>
      </c>
      <c r="U18" s="40">
        <f t="shared" si="1"/>
        <v>0</v>
      </c>
      <c r="V18" s="40">
        <f t="shared" si="1"/>
        <v>0</v>
      </c>
      <c r="W18" s="40">
        <f t="shared" si="1"/>
        <v>0</v>
      </c>
    </row>
    <row r="19" spans="1:24" x14ac:dyDescent="0.2">
      <c r="C19" s="3"/>
      <c r="D19" s="3"/>
      <c r="E19" s="3"/>
      <c r="F19" s="3"/>
      <c r="G19" s="3"/>
      <c r="H19" s="3"/>
      <c r="I19" s="3"/>
      <c r="J19" s="3"/>
      <c r="K19" s="3"/>
      <c r="L19" s="3"/>
      <c r="M19" s="3"/>
      <c r="N19" s="3"/>
      <c r="O19" s="3"/>
      <c r="P19" s="3"/>
      <c r="Q19" s="3"/>
      <c r="R19" s="3"/>
      <c r="S19" s="3"/>
      <c r="T19" s="3"/>
      <c r="U19" s="3"/>
      <c r="V19" s="3"/>
      <c r="W19" s="3"/>
    </row>
    <row r="20" spans="1:24" s="30" customFormat="1" x14ac:dyDescent="0.2">
      <c r="A20" s="30" t="s">
        <v>34</v>
      </c>
      <c r="C20" s="31"/>
      <c r="D20" s="40">
        <f>'Ahorro GLP-GN'!$C$14*D15*$C$4</f>
        <v>7625110.6791599365</v>
      </c>
      <c r="E20" s="40">
        <f>'Ahorro GLP-GN'!$C$14*E15*$C$4</f>
        <v>9803713.7303484902</v>
      </c>
      <c r="F20" s="40">
        <f>'Ahorro GLP-GN'!$C$14*F15*$C$4</f>
        <v>11982316.781537043</v>
      </c>
      <c r="G20" s="40">
        <f>'Ahorro GLP-GN'!$C$14*G15*$C$4</f>
        <v>14160919.832725598</v>
      </c>
      <c r="H20" s="40">
        <f>'Ahorro GLP-GN'!$C$14*H15*$C$4</f>
        <v>16339522.88391415</v>
      </c>
      <c r="I20" s="40">
        <f>'Ahorro GLP-GN'!$C$14*I15*$C$4</f>
        <v>17428824.409508426</v>
      </c>
      <c r="J20" s="40">
        <f>'Ahorro GLP-GN'!$C$14*J15*$C$4</f>
        <v>18518125.935102705</v>
      </c>
      <c r="K20" s="40">
        <f>'Ahorro GLP-GN'!$C$14*K15*$C$4</f>
        <v>19607427.46069698</v>
      </c>
      <c r="L20" s="40">
        <f>'Ahorro GLP-GN'!$C$14*L15*$C$4</f>
        <v>20696728.986291256</v>
      </c>
      <c r="M20" s="40">
        <f>'Ahorro GLP-GN'!$C$14*M15*$C$4</f>
        <v>21786030.511885535</v>
      </c>
      <c r="N20" s="40">
        <f>'Ahorro GLP-GN'!$C$14*N15*$C$4</f>
        <v>21786030.511885535</v>
      </c>
      <c r="O20" s="40">
        <f>'Ahorro GLP-GN'!$C$14*O15*$C$4</f>
        <v>21786030.511885535</v>
      </c>
      <c r="P20" s="40">
        <f>'Ahorro GLP-GN'!$C$14*P15*$C$4</f>
        <v>21786030.511885535</v>
      </c>
      <c r="Q20" s="40">
        <f>'Ahorro GLP-GN'!$C$14*Q15*$C$4</f>
        <v>21786030.511885535</v>
      </c>
      <c r="R20" s="40">
        <f>'Ahorro GLP-GN'!$C$14*R15*$C$4</f>
        <v>21786030.511885535</v>
      </c>
      <c r="S20" s="40">
        <f>'Ahorro GLP-GN'!$C$14*S15*$C$4</f>
        <v>21786030.511885535</v>
      </c>
      <c r="T20" s="40">
        <f>'Ahorro GLP-GN'!$C$14*T15*$C$4</f>
        <v>21786030.511885535</v>
      </c>
      <c r="U20" s="40">
        <f>'Ahorro GLP-GN'!$C$14*U15*$C$4</f>
        <v>21786030.511885535</v>
      </c>
      <c r="V20" s="40">
        <f>'Ahorro GLP-GN'!$C$14*V15*$C$4</f>
        <v>21786030.511885535</v>
      </c>
      <c r="W20" s="40">
        <f>'Ahorro GLP-GN'!$C$14*W15*$C$4</f>
        <v>21786030.511885535</v>
      </c>
      <c r="X20"/>
    </row>
    <row r="21" spans="1:24" x14ac:dyDescent="0.2">
      <c r="A21" s="30" t="s">
        <v>156</v>
      </c>
      <c r="C21" s="3"/>
      <c r="D21" s="40">
        <f>+$C$4*D15*'Ahorro GLP-GN'!$E$14</f>
        <v>4043967.8882399974</v>
      </c>
      <c r="E21" s="40">
        <f>+$C$4*E15*'Ahorro GLP-GN'!$E$14</f>
        <v>5199387.2848799974</v>
      </c>
      <c r="F21" s="40">
        <f>+$C$4*F15*'Ahorro GLP-GN'!$E$14</f>
        <v>6354806.6815199973</v>
      </c>
      <c r="G21" s="40">
        <f>+$C$4*G15*'Ahorro GLP-GN'!$E$14</f>
        <v>7510226.0781599963</v>
      </c>
      <c r="H21" s="40">
        <f>+$C$4*H15*'Ahorro GLP-GN'!$E$14</f>
        <v>8665645.4747999944</v>
      </c>
      <c r="I21" s="40">
        <f>+$C$4*I15*'Ahorro GLP-GN'!$E$14</f>
        <v>9243355.1731199957</v>
      </c>
      <c r="J21" s="40">
        <f>+$C$4*J15*'Ahorro GLP-GN'!$E$14</f>
        <v>9821064.8714399934</v>
      </c>
      <c r="K21" s="40">
        <f>+$C$4*K15*'Ahorro GLP-GN'!$E$14</f>
        <v>10398774.569759995</v>
      </c>
      <c r="L21" s="40">
        <f>+$C$4*L15*'Ahorro GLP-GN'!$E$14</f>
        <v>10976484.268079992</v>
      </c>
      <c r="M21" s="40">
        <f>+$C$4*M15*'Ahorro GLP-GN'!$E$14</f>
        <v>11554193.966399994</v>
      </c>
      <c r="N21" s="40">
        <f>+$C$4*N15*'Ahorro GLP-GN'!$E$14</f>
        <v>11554193.966399994</v>
      </c>
      <c r="O21" s="40">
        <f>+$C$4*O15*'Ahorro GLP-GN'!$E$14</f>
        <v>11554193.966399994</v>
      </c>
      <c r="P21" s="40">
        <f>+$C$4*P15*'Ahorro GLP-GN'!$E$14</f>
        <v>11554193.966399994</v>
      </c>
      <c r="Q21" s="40">
        <f>+$C$4*Q15*'Ahorro GLP-GN'!$E$14</f>
        <v>11554193.966399994</v>
      </c>
      <c r="R21" s="40">
        <f>+$C$4*R15*'Ahorro GLP-GN'!$E$14</f>
        <v>11554193.966399994</v>
      </c>
      <c r="S21" s="40">
        <f>+$C$4*S15*'Ahorro GLP-GN'!$E$14</f>
        <v>11554193.966399994</v>
      </c>
      <c r="T21" s="40">
        <f>+$C$4*T15*'Ahorro GLP-GN'!$E$14</f>
        <v>11554193.966399994</v>
      </c>
      <c r="U21" s="40">
        <f>+$C$4*U15*'Ahorro GLP-GN'!$E$14</f>
        <v>11554193.966399994</v>
      </c>
      <c r="V21" s="40">
        <f>+$C$4*V15*'Ahorro GLP-GN'!$E$14</f>
        <v>11554193.966399994</v>
      </c>
      <c r="W21" s="40">
        <f>+$C$4*W15*'Ahorro GLP-GN'!$E$14</f>
        <v>11554193.966399994</v>
      </c>
    </row>
    <row r="22" spans="1:24" x14ac:dyDescent="0.2">
      <c r="A22" t="s">
        <v>10</v>
      </c>
      <c r="C22" s="3"/>
      <c r="D22" s="40">
        <f>+$C$6*(Metodologia!$B$5-Metodologia!$B$7)*(D15-C15)</f>
        <v>191812393.92000026</v>
      </c>
      <c r="E22" s="40">
        <f>+$C$6*(Metodologia!$B$5-Metodologia!$B$7)*(E15-D15)</f>
        <v>54803541.120000094</v>
      </c>
      <c r="F22" s="40">
        <f>+$C$6*(Metodologia!$B$5-Metodologia!$B$7)*(F15-E15)</f>
        <v>54803541.120000094</v>
      </c>
      <c r="G22" s="40">
        <f>+$C$6*(Metodologia!$B$5-Metodologia!$B$7)*(G15-F15)</f>
        <v>54803541.120000064</v>
      </c>
      <c r="H22" s="40">
        <f>+$C$6*(Metodologia!$B$5-Metodologia!$B$7)*(H15-G15)</f>
        <v>54803541.120000064</v>
      </c>
      <c r="I22" s="40">
        <f>+$C$6*(Metodologia!$B$5-Metodologia!$B$7)*(I15-H15)</f>
        <v>27401770.560000062</v>
      </c>
      <c r="J22" s="40">
        <f>+$C$6*(Metodologia!$B$5-Metodologia!$B$7)*(J15-I15)</f>
        <v>27401770.560000002</v>
      </c>
      <c r="K22" s="40">
        <f>+$C$6*(Metodologia!$B$5-Metodologia!$B$7)*(K15-J15)</f>
        <v>27401770.560000062</v>
      </c>
      <c r="L22" s="40">
        <f>+$C$6*(Metodologia!$B$5-Metodologia!$B$7)*(L15-K15)</f>
        <v>27401770.560000002</v>
      </c>
      <c r="M22" s="40">
        <f>+$C$6*(Metodologia!$B$5-Metodologia!$B$7)*(M15-L15)</f>
        <v>27401770.560000062</v>
      </c>
      <c r="N22" s="40">
        <f>+$C$6*(Metodologia!$B$5-Metodologia!$B$7)*(N15-M15)</f>
        <v>0</v>
      </c>
      <c r="O22" s="40">
        <f>+$C$6*(Metodologia!$B$5-Metodologia!$B$7)*(O15-N15)</f>
        <v>0</v>
      </c>
      <c r="P22" s="40">
        <f>+$C$6*(Metodologia!$B$5-Metodologia!$B$7)*(P15-O15)</f>
        <v>0</v>
      </c>
      <c r="Q22" s="40">
        <f>+$C$6*(Metodologia!$B$5-Metodologia!$B$7)*(Q15-P15)</f>
        <v>0</v>
      </c>
      <c r="R22" s="40">
        <f>+$C$6*(Metodologia!$B$5-Metodologia!$B$7)*(R15-Q15)</f>
        <v>0</v>
      </c>
      <c r="S22" s="40">
        <f>+$C$6*(Metodologia!$B$5-Metodologia!$B$7)*(S15-R15)</f>
        <v>0</v>
      </c>
      <c r="T22" s="40">
        <f>+$C$6*(Metodologia!$B$5-Metodologia!$B$7)*(T15-S15)</f>
        <v>0</v>
      </c>
      <c r="U22" s="40">
        <f>+$C$6*(Metodologia!$B$5-Metodologia!$B$7)*(U15-T15)</f>
        <v>0</v>
      </c>
      <c r="V22" s="40">
        <f>+$C$6*(Metodologia!$B$5-Metodologia!$B$7)*(V15-U15)</f>
        <v>0</v>
      </c>
      <c r="W22" s="40">
        <f>+$C$6*(Metodologia!$B$5-Metodologia!$B$7)*(W15-V15)</f>
        <v>0</v>
      </c>
    </row>
    <row r="23" spans="1:24" x14ac:dyDescent="0.2">
      <c r="C23" s="3"/>
      <c r="D23" s="3"/>
      <c r="E23" s="3"/>
      <c r="F23" s="3"/>
      <c r="G23" s="3"/>
      <c r="H23" s="3"/>
      <c r="I23" s="3"/>
      <c r="J23" s="3"/>
      <c r="K23" s="3"/>
      <c r="L23" s="3"/>
      <c r="M23" s="3"/>
      <c r="N23" s="3"/>
      <c r="O23" s="3"/>
      <c r="P23" s="3"/>
      <c r="Q23" s="3"/>
      <c r="R23" s="3"/>
      <c r="S23" s="3"/>
      <c r="T23" s="3"/>
      <c r="U23" s="3"/>
      <c r="V23" s="3"/>
      <c r="W23" s="3"/>
    </row>
    <row r="24" spans="1:24" x14ac:dyDescent="0.2">
      <c r="C24" s="3"/>
      <c r="D24" s="3"/>
      <c r="E24" s="3"/>
      <c r="F24" s="3"/>
      <c r="G24" s="3"/>
      <c r="H24" s="3"/>
      <c r="I24" s="3"/>
      <c r="J24" s="3"/>
      <c r="K24" s="3"/>
      <c r="L24" s="3"/>
      <c r="M24" s="3"/>
      <c r="N24" s="3"/>
      <c r="O24" s="3"/>
      <c r="P24" s="3"/>
      <c r="Q24" s="3"/>
      <c r="R24" s="3"/>
      <c r="S24" s="3"/>
      <c r="T24" s="3"/>
      <c r="U24" s="3"/>
      <c r="V24" s="3"/>
      <c r="W24" s="3"/>
    </row>
    <row r="25" spans="1:24" x14ac:dyDescent="0.2">
      <c r="A25" t="s">
        <v>4</v>
      </c>
      <c r="C25" s="40">
        <f>+SUM(C16,C18:C18,C20,C22)</f>
        <v>0</v>
      </c>
      <c r="D25" s="40">
        <f>+SUM(D20:D22)-SUM(D16:D18)</f>
        <v>106468554.29552147</v>
      </c>
      <c r="E25" s="40">
        <f t="shared" ref="E25:W25" si="2">+SUM(E20:E22)-SUM(E16:E18)</f>
        <v>38646141.017098777</v>
      </c>
      <c r="F25" s="40">
        <f t="shared" si="2"/>
        <v>40996585.038676277</v>
      </c>
      <c r="G25" s="40">
        <f t="shared" si="2"/>
        <v>43347029.060253762</v>
      </c>
      <c r="H25" s="40">
        <f t="shared" si="2"/>
        <v>45697473.081831247</v>
      </c>
      <c r="I25" s="40">
        <f t="shared" si="2"/>
        <v>32838123.632619966</v>
      </c>
      <c r="J25" s="40">
        <f t="shared" si="2"/>
        <v>34013345.643408678</v>
      </c>
      <c r="K25" s="40">
        <f t="shared" si="2"/>
        <v>35188567.654197454</v>
      </c>
      <c r="L25" s="40">
        <f t="shared" si="2"/>
        <v>36363789.664986171</v>
      </c>
      <c r="M25" s="40">
        <f t="shared" si="2"/>
        <v>37539011.675774947</v>
      </c>
      <c r="N25" s="40">
        <f t="shared" si="2"/>
        <v>23504440.215774894</v>
      </c>
      <c r="O25" s="40">
        <f t="shared" si="2"/>
        <v>23504440.215774894</v>
      </c>
      <c r="P25" s="40">
        <f t="shared" si="2"/>
        <v>23504440.215774894</v>
      </c>
      <c r="Q25" s="40">
        <f t="shared" si="2"/>
        <v>23504440.215774894</v>
      </c>
      <c r="R25" s="40">
        <f t="shared" si="2"/>
        <v>23504440.215774894</v>
      </c>
      <c r="S25" s="40">
        <f t="shared" si="2"/>
        <v>23504440.215774894</v>
      </c>
      <c r="T25" s="40">
        <f t="shared" si="2"/>
        <v>23504440.215774894</v>
      </c>
      <c r="U25" s="40">
        <f t="shared" si="2"/>
        <v>23504440.215774894</v>
      </c>
      <c r="V25" s="40">
        <f t="shared" si="2"/>
        <v>23504440.215774894</v>
      </c>
      <c r="W25" s="40">
        <f t="shared" si="2"/>
        <v>23504440.215774894</v>
      </c>
    </row>
    <row r="26" spans="1:24" x14ac:dyDescent="0.2">
      <c r="A26" t="s">
        <v>9</v>
      </c>
      <c r="C26" s="10">
        <f t="shared" ref="C26:W26" si="3">1/(1+$C$10)^C13</f>
        <v>1</v>
      </c>
      <c r="D26" s="10">
        <f t="shared" si="3"/>
        <v>0.91466203237903598</v>
      </c>
      <c r="E26" s="10">
        <f t="shared" si="3"/>
        <v>0.83660663347574871</v>
      </c>
      <c r="F26" s="10">
        <f t="shared" si="3"/>
        <v>0.76521232367671166</v>
      </c>
      <c r="G26" s="10">
        <f t="shared" si="3"/>
        <v>0.69991065917562578</v>
      </c>
      <c r="H26" s="10">
        <f t="shared" si="3"/>
        <v>0.64018170600532864</v>
      </c>
      <c r="I26" s="10">
        <f t="shared" si="3"/>
        <v>0.58554990030671239</v>
      </c>
      <c r="J26" s="10">
        <f t="shared" si="3"/>
        <v>0.53558026187387953</v>
      </c>
      <c r="K26" s="10">
        <f t="shared" si="3"/>
        <v>0.48987493082765893</v>
      </c>
      <c r="L26" s="10">
        <f t="shared" si="3"/>
        <v>0.44806999984236617</v>
      </c>
      <c r="M26" s="10">
        <f t="shared" si="3"/>
        <v>0.40983261670389304</v>
      </c>
      <c r="N26" s="10">
        <f t="shared" si="3"/>
        <v>0.37485833412960123</v>
      </c>
      <c r="O26" s="10">
        <f t="shared" si="3"/>
        <v>0.34286868574920082</v>
      </c>
      <c r="P26" s="10">
        <f t="shared" si="3"/>
        <v>0.31360896894649309</v>
      </c>
      <c r="Q26" s="10">
        <f t="shared" si="3"/>
        <v>0.28684621690889334</v>
      </c>
      <c r="R26" s="10">
        <f t="shared" si="3"/>
        <v>0.26236734373812615</v>
      </c>
      <c r="S26" s="10">
        <f t="shared" si="3"/>
        <v>0.23997744785340364</v>
      </c>
      <c r="T26" s="10">
        <f t="shared" si="3"/>
        <v>0.21949826017872831</v>
      </c>
      <c r="U26" s="10">
        <f t="shared" si="3"/>
        <v>0.20076672475873805</v>
      </c>
      <c r="V26" s="10">
        <f t="shared" si="3"/>
        <v>0.18363370050190989</v>
      </c>
      <c r="W26" s="10">
        <f t="shared" si="3"/>
        <v>0.16796277371436008</v>
      </c>
    </row>
    <row r="27" spans="1:24" x14ac:dyDescent="0.2">
      <c r="A27" t="s">
        <v>8</v>
      </c>
      <c r="C27" s="40">
        <f t="shared" ref="C27:V27" si="4">+C26*C25</f>
        <v>0</v>
      </c>
      <c r="D27" s="40">
        <f>+D26*D25</f>
        <v>97382744.256399408</v>
      </c>
      <c r="E27" s="40">
        <f>+E26*E25</f>
        <v>32331617.933144055</v>
      </c>
      <c r="F27" s="40">
        <f>+F26*F25</f>
        <v>31371092.100255385</v>
      </c>
      <c r="G27" s="40">
        <f>+G26*G25</f>
        <v>30339047.682867218</v>
      </c>
      <c r="H27" s="40">
        <f>+H26*H25</f>
        <v>29254686.277659312</v>
      </c>
      <c r="I27" s="40">
        <f t="shared" si="4"/>
        <v>19228360.019340117</v>
      </c>
      <c r="J27" s="40">
        <f t="shared" si="4"/>
        <v>18216876.566903599</v>
      </c>
      <c r="K27" s="40">
        <f t="shared" si="4"/>
        <v>17237997.145524375</v>
      </c>
      <c r="L27" s="40">
        <f t="shared" si="4"/>
        <v>16293523.229458191</v>
      </c>
      <c r="M27" s="40">
        <f>+M26*M25</f>
        <v>15384711.38356084</v>
      </c>
      <c r="N27" s="40">
        <f t="shared" si="4"/>
        <v>8810835.3039341811</v>
      </c>
      <c r="O27" s="40">
        <f t="shared" si="4"/>
        <v>8058936.5260533998</v>
      </c>
      <c r="P27" s="40">
        <f t="shared" si="4"/>
        <v>7371203.2617336521</v>
      </c>
      <c r="Q27" s="40">
        <f t="shared" si="4"/>
        <v>6742159.7564562811</v>
      </c>
      <c r="R27" s="40">
        <f>+R26*R25</f>
        <v>6166797.5454644477</v>
      </c>
      <c r="S27" s="40">
        <f t="shared" si="4"/>
        <v>5640535.5762045626</v>
      </c>
      <c r="T27" s="40">
        <f t="shared" si="4"/>
        <v>5159183.7338375226</v>
      </c>
      <c r="U27" s="40">
        <f t="shared" si="4"/>
        <v>4718909.4794086916</v>
      </c>
      <c r="V27" s="40">
        <f t="shared" si="4"/>
        <v>4316207.3350486532</v>
      </c>
      <c r="W27" s="40">
        <f>+W26*W25</f>
        <v>3947870.9732449031</v>
      </c>
      <c r="X27" s="41"/>
    </row>
    <row r="28" spans="1:24" x14ac:dyDescent="0.2">
      <c r="C28" s="41"/>
      <c r="D28" s="41"/>
      <c r="E28" s="41"/>
      <c r="F28" s="41"/>
      <c r="G28" s="41"/>
      <c r="H28" s="41"/>
      <c r="I28" s="41"/>
      <c r="J28" s="41"/>
      <c r="K28" s="41"/>
      <c r="L28" s="41"/>
      <c r="M28" s="41"/>
      <c r="N28" s="41"/>
      <c r="O28" s="41"/>
      <c r="P28" s="41"/>
      <c r="Q28" s="41"/>
      <c r="R28" s="41"/>
      <c r="S28" s="41"/>
      <c r="T28" s="41"/>
      <c r="U28" s="41"/>
      <c r="V28" s="41"/>
      <c r="W28" s="41"/>
      <c r="X28" s="41"/>
    </row>
    <row r="29" spans="1:24" x14ac:dyDescent="0.2">
      <c r="D29" s="2"/>
    </row>
    <row r="31" spans="1:24" x14ac:dyDescent="0.2">
      <c r="D31" s="37"/>
    </row>
    <row r="32" spans="1:24" x14ac:dyDescent="0.2">
      <c r="F32" s="38"/>
    </row>
    <row r="33" spans="6:6" x14ac:dyDescent="0.2">
      <c r="F33" s="14"/>
    </row>
  </sheetData>
  <sheetProtection algorithmName="SHA-512" hashValue="47BScH5mkcBqHZZq7cpg39l/Ei53RdgD1J0LUu4SehT+UQlbN3eKPo8AWBQfGcWqLjovT46KROSeG9VHKvOQQQ==" saltValue="B69o+JUXZreXrIEDciJtag==" spinCount="100000" sheet="1" objects="1" scenarios="1"/>
  <pageMargins left="0.7" right="0.7" top="0.75" bottom="0.75" header="0.3" footer="0.3"/>
  <pageSetup paperSize="9" scale="26"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33"/>
  <sheetViews>
    <sheetView showGridLines="0" zoomScaleNormal="100" workbookViewId="0">
      <selection activeCell="A13" sqref="A13:XFD13"/>
    </sheetView>
  </sheetViews>
  <sheetFormatPr baseColWidth="10" defaultRowHeight="15" x14ac:dyDescent="0.2"/>
  <cols>
    <col min="1" max="1" width="37.5" bestFit="1" customWidth="1"/>
    <col min="2" max="2" width="3.83203125" customWidth="1"/>
    <col min="3" max="3" width="19" customWidth="1"/>
    <col min="4" max="4" width="15.6640625" customWidth="1"/>
    <col min="5" max="7" width="14.5" bestFit="1" customWidth="1"/>
    <col min="8" max="8" width="15.5" customWidth="1"/>
    <col min="9" max="9" width="14.33203125" hidden="1" customWidth="1"/>
    <col min="10" max="10" width="12.83203125" hidden="1" customWidth="1"/>
    <col min="11" max="11" width="17.33203125" hidden="1" customWidth="1"/>
    <col min="12" max="12" width="14.33203125" hidden="1" customWidth="1"/>
    <col min="13" max="13" width="14.33203125" bestFit="1" customWidth="1"/>
    <col min="14" max="17" width="14.33203125" hidden="1" customWidth="1"/>
    <col min="18" max="18" width="14.33203125" bestFit="1" customWidth="1"/>
    <col min="19" max="22" width="14.33203125" hidden="1" customWidth="1"/>
    <col min="23" max="23" width="14.83203125" bestFit="1" customWidth="1"/>
    <col min="24" max="24" width="14.6640625" bestFit="1" customWidth="1"/>
  </cols>
  <sheetData>
    <row r="1" spans="1:23" ht="16" thickBot="1" x14ac:dyDescent="0.25"/>
    <row r="2" spans="1:23" x14ac:dyDescent="0.2">
      <c r="A2" s="4" t="s">
        <v>0</v>
      </c>
      <c r="B2" s="11"/>
      <c r="C2" s="7" t="s">
        <v>217</v>
      </c>
    </row>
    <row r="3" spans="1:23" x14ac:dyDescent="0.2">
      <c r="A3" s="5" t="s">
        <v>153</v>
      </c>
      <c r="B3" s="12"/>
      <c r="C3" s="8">
        <f>150+400</f>
        <v>550</v>
      </c>
    </row>
    <row r="4" spans="1:23" x14ac:dyDescent="0.2">
      <c r="A4" s="5" t="s">
        <v>2</v>
      </c>
      <c r="B4" s="12"/>
      <c r="C4" s="8">
        <v>2000</v>
      </c>
    </row>
    <row r="5" spans="1:23" x14ac:dyDescent="0.2">
      <c r="A5" s="5" t="s">
        <v>154</v>
      </c>
      <c r="B5" s="12"/>
      <c r="C5" s="8">
        <f>+'Ahorro GLP-GN'!H3</f>
        <v>800</v>
      </c>
    </row>
    <row r="6" spans="1:23" x14ac:dyDescent="0.2">
      <c r="A6" s="5" t="s">
        <v>30</v>
      </c>
      <c r="B6" s="12"/>
      <c r="C6" s="8">
        <v>2000</v>
      </c>
    </row>
    <row r="7" spans="1:23" x14ac:dyDescent="0.2">
      <c r="A7" s="5" t="s">
        <v>129</v>
      </c>
      <c r="B7" s="12"/>
      <c r="C7" s="123">
        <v>5967726.2795000002</v>
      </c>
    </row>
    <row r="8" spans="1:23" ht="16" thickBot="1" x14ac:dyDescent="0.25">
      <c r="A8" s="6" t="s">
        <v>37</v>
      </c>
      <c r="B8" s="13"/>
      <c r="C8" s="9">
        <f>+Metodologia!B14</f>
        <v>33161</v>
      </c>
    </row>
    <row r="9" spans="1:23" ht="16" thickBot="1" x14ac:dyDescent="0.25"/>
    <row r="10" spans="1:23" x14ac:dyDescent="0.2">
      <c r="A10" s="4" t="s">
        <v>5</v>
      </c>
      <c r="B10" s="11"/>
      <c r="C10" s="43">
        <v>9.3299999999999994E-2</v>
      </c>
    </row>
    <row r="11" spans="1:23" ht="16" thickBot="1" x14ac:dyDescent="0.25">
      <c r="A11" s="6" t="s">
        <v>6</v>
      </c>
      <c r="B11" s="13"/>
      <c r="C11" s="42">
        <f>+SUM(C27:W27)</f>
        <v>91285858.617340311</v>
      </c>
    </row>
    <row r="13" spans="1:23" s="12" customFormat="1" x14ac:dyDescent="0.2">
      <c r="A13" s="210" t="s">
        <v>1</v>
      </c>
      <c r="B13" s="210"/>
      <c r="C13" s="210">
        <v>0</v>
      </c>
      <c r="D13" s="210">
        <v>1</v>
      </c>
      <c r="E13" s="210">
        <f t="shared" ref="E13:W13" si="0">+D13+1</f>
        <v>2</v>
      </c>
      <c r="F13" s="210">
        <f t="shared" si="0"/>
        <v>3</v>
      </c>
      <c r="G13" s="210">
        <f t="shared" si="0"/>
        <v>4</v>
      </c>
      <c r="H13" s="210">
        <f t="shared" si="0"/>
        <v>5</v>
      </c>
      <c r="I13" s="210">
        <f t="shared" si="0"/>
        <v>6</v>
      </c>
      <c r="J13" s="210">
        <f t="shared" si="0"/>
        <v>7</v>
      </c>
      <c r="K13" s="210">
        <f t="shared" si="0"/>
        <v>8</v>
      </c>
      <c r="L13" s="210">
        <f t="shared" si="0"/>
        <v>9</v>
      </c>
      <c r="M13" s="210">
        <f t="shared" si="0"/>
        <v>10</v>
      </c>
      <c r="N13" s="210">
        <f t="shared" si="0"/>
        <v>11</v>
      </c>
      <c r="O13" s="210">
        <f t="shared" si="0"/>
        <v>12</v>
      </c>
      <c r="P13" s="210">
        <f t="shared" si="0"/>
        <v>13</v>
      </c>
      <c r="Q13" s="210">
        <f t="shared" si="0"/>
        <v>14</v>
      </c>
      <c r="R13" s="210">
        <f t="shared" si="0"/>
        <v>15</v>
      </c>
      <c r="S13" s="210">
        <f t="shared" si="0"/>
        <v>16</v>
      </c>
      <c r="T13" s="210">
        <f t="shared" si="0"/>
        <v>17</v>
      </c>
      <c r="U13" s="210">
        <f t="shared" si="0"/>
        <v>18</v>
      </c>
      <c r="V13" s="210">
        <f t="shared" si="0"/>
        <v>19</v>
      </c>
      <c r="W13" s="210">
        <f t="shared" si="0"/>
        <v>20</v>
      </c>
    </row>
    <row r="15" spans="1:23" x14ac:dyDescent="0.2">
      <c r="A15" t="s">
        <v>7</v>
      </c>
      <c r="C15" s="96">
        <v>0</v>
      </c>
      <c r="D15" s="96">
        <v>0.35</v>
      </c>
      <c r="E15" s="96">
        <v>0.45</v>
      </c>
      <c r="F15" s="96">
        <v>0.55000000000000004</v>
      </c>
      <c r="G15" s="96">
        <v>0.65</v>
      </c>
      <c r="H15" s="96">
        <v>0.75</v>
      </c>
      <c r="I15" s="96">
        <v>0.8</v>
      </c>
      <c r="J15" s="96">
        <v>0.85</v>
      </c>
      <c r="K15" s="96">
        <v>0.9</v>
      </c>
      <c r="L15" s="96">
        <v>0.95</v>
      </c>
      <c r="M15" s="96">
        <v>1</v>
      </c>
      <c r="N15" s="96">
        <v>1</v>
      </c>
      <c r="O15" s="96">
        <v>1</v>
      </c>
      <c r="P15" s="96">
        <v>1</v>
      </c>
      <c r="Q15" s="96">
        <v>1</v>
      </c>
      <c r="R15" s="96">
        <v>1</v>
      </c>
      <c r="S15" s="96">
        <v>1</v>
      </c>
      <c r="T15" s="96">
        <v>1</v>
      </c>
      <c r="U15" s="96">
        <v>1</v>
      </c>
      <c r="V15" s="96">
        <v>1</v>
      </c>
      <c r="W15" s="96">
        <v>1</v>
      </c>
    </row>
    <row r="16" spans="1:23" x14ac:dyDescent="0.2">
      <c r="A16" s="16"/>
      <c r="B16" s="16"/>
      <c r="C16" s="196"/>
      <c r="D16" s="41"/>
      <c r="E16" s="41"/>
      <c r="F16" s="41"/>
      <c r="G16" s="41"/>
      <c r="H16" s="41"/>
      <c r="I16" s="41"/>
      <c r="J16" s="41"/>
      <c r="K16" s="41"/>
      <c r="L16" s="41"/>
      <c r="M16" s="41"/>
      <c r="N16" s="41"/>
      <c r="O16" s="41"/>
      <c r="P16" s="41"/>
      <c r="Q16" s="41"/>
      <c r="R16" s="41"/>
      <c r="S16" s="41"/>
      <c r="T16" s="41"/>
      <c r="U16" s="41"/>
      <c r="V16" s="41"/>
      <c r="W16" s="41"/>
    </row>
    <row r="17" spans="1:24" x14ac:dyDescent="0.2">
      <c r="A17" t="s">
        <v>155</v>
      </c>
      <c r="C17" s="40"/>
      <c r="D17" s="40">
        <f>+$C$5*$C$4*D15*'Costo fiscal Estado Nac'!$D$30</f>
        <v>854012.52589400182</v>
      </c>
      <c r="E17" s="40">
        <f>+$C$5*$C$4*E15*'Costo fiscal Estado Nac'!$D$30</f>
        <v>1098016.1047208596</v>
      </c>
      <c r="F17" s="40">
        <f>+$C$5*$C$4*F15*'Costo fiscal Estado Nac'!$D$30</f>
        <v>1342019.6835477173</v>
      </c>
      <c r="G17" s="40">
        <f>+$C$5*$C$4*G15*'Costo fiscal Estado Nac'!$D$30</f>
        <v>1586023.2623745748</v>
      </c>
      <c r="H17" s="40">
        <f>+$C$5*$C$4*H15*'Costo fiscal Estado Nac'!$D$30</f>
        <v>1830026.8412014325</v>
      </c>
      <c r="I17" s="40">
        <f>+$C$5*$C$4*I15*'Costo fiscal Estado Nac'!$D$30</f>
        <v>1952028.6306148614</v>
      </c>
      <c r="J17" s="40">
        <f>+$C$5*$C$4*J15*'Costo fiscal Estado Nac'!$D$30</f>
        <v>2074030.4200282902</v>
      </c>
      <c r="K17" s="40">
        <f>+$C$5*$C$4*K15*'Costo fiscal Estado Nac'!$D$30</f>
        <v>2196032.2094417191</v>
      </c>
      <c r="L17" s="40">
        <f>+$C$5*$C$4*L15*'Costo fiscal Estado Nac'!$D$30</f>
        <v>2318033.998855148</v>
      </c>
      <c r="M17" s="40">
        <f>+$C$5*$C$4*M15*'Costo fiscal Estado Nac'!$D$30</f>
        <v>2440035.7882685768</v>
      </c>
      <c r="N17" s="40">
        <f>+$C$5*$C$4*N15*'Costo fiscal Estado Nac'!$D$30</f>
        <v>2440035.7882685768</v>
      </c>
      <c r="O17" s="40">
        <f>+$C$5*$C$4*O15*'Costo fiscal Estado Nac'!$D$30</f>
        <v>2440035.7882685768</v>
      </c>
      <c r="P17" s="40">
        <f>+$C$5*$C$4*P15*'Costo fiscal Estado Nac'!$D$30</f>
        <v>2440035.7882685768</v>
      </c>
      <c r="Q17" s="40">
        <f>+$C$5*$C$4*Q15*'Costo fiscal Estado Nac'!$D$30</f>
        <v>2440035.7882685768</v>
      </c>
      <c r="R17" s="40">
        <f>+$C$5*$C$4*R15*'Costo fiscal Estado Nac'!$D$30</f>
        <v>2440035.7882685768</v>
      </c>
      <c r="S17" s="40">
        <f>+$C$5*$C$4*S15*'Costo fiscal Estado Nac'!$D$30</f>
        <v>2440035.7882685768</v>
      </c>
      <c r="T17" s="40">
        <f>+$C$5*$C$4*T15*'Costo fiscal Estado Nac'!$D$30</f>
        <v>2440035.7882685768</v>
      </c>
      <c r="U17" s="40">
        <f>+$C$5*$C$4*U15*'Costo fiscal Estado Nac'!$D$30</f>
        <v>2440035.7882685768</v>
      </c>
      <c r="V17" s="40">
        <f>+$C$5*$C$4*V15*'Costo fiscal Estado Nac'!$D$30</f>
        <v>2440035.7882685768</v>
      </c>
      <c r="W17" s="40">
        <f>+$C$5*$C$4*W15*'Costo fiscal Estado Nac'!$D$30</f>
        <v>2440035.7882685768</v>
      </c>
    </row>
    <row r="18" spans="1:24" x14ac:dyDescent="0.2">
      <c r="A18" t="s">
        <v>3</v>
      </c>
      <c r="C18" s="40"/>
      <c r="D18" s="40">
        <f t="shared" ref="D18:W18" si="1">+$C$8*(D15-C15)*$C$4</f>
        <v>23212699.999999996</v>
      </c>
      <c r="E18" s="40">
        <f t="shared" si="1"/>
        <v>6632200.0000000028</v>
      </c>
      <c r="F18" s="40">
        <f t="shared" si="1"/>
        <v>6632200.0000000028</v>
      </c>
      <c r="G18" s="40">
        <f t="shared" si="1"/>
        <v>6632199.9999999991</v>
      </c>
      <c r="H18" s="40">
        <f t="shared" si="1"/>
        <v>6632199.9999999991</v>
      </c>
      <c r="I18" s="40">
        <f t="shared" si="1"/>
        <v>3316100.0000000033</v>
      </c>
      <c r="J18" s="40">
        <f t="shared" si="1"/>
        <v>3316099.9999999953</v>
      </c>
      <c r="K18" s="40">
        <f t="shared" si="1"/>
        <v>3316100.0000000033</v>
      </c>
      <c r="L18" s="40">
        <f t="shared" si="1"/>
        <v>3316099.9999999953</v>
      </c>
      <c r="M18" s="40">
        <f t="shared" si="1"/>
        <v>3316100.0000000033</v>
      </c>
      <c r="N18" s="40">
        <f t="shared" si="1"/>
        <v>0</v>
      </c>
      <c r="O18" s="40">
        <f t="shared" si="1"/>
        <v>0</v>
      </c>
      <c r="P18" s="40">
        <f t="shared" si="1"/>
        <v>0</v>
      </c>
      <c r="Q18" s="40">
        <f t="shared" si="1"/>
        <v>0</v>
      </c>
      <c r="R18" s="40">
        <f t="shared" si="1"/>
        <v>0</v>
      </c>
      <c r="S18" s="40">
        <f t="shared" si="1"/>
        <v>0</v>
      </c>
      <c r="T18" s="40">
        <f t="shared" si="1"/>
        <v>0</v>
      </c>
      <c r="U18" s="40">
        <f t="shared" si="1"/>
        <v>0</v>
      </c>
      <c r="V18" s="40">
        <f t="shared" si="1"/>
        <v>0</v>
      </c>
      <c r="W18" s="40">
        <f t="shared" si="1"/>
        <v>0</v>
      </c>
    </row>
    <row r="19" spans="1:24" x14ac:dyDescent="0.2">
      <c r="C19" s="40"/>
      <c r="D19" s="40"/>
      <c r="E19" s="40"/>
      <c r="F19" s="40"/>
      <c r="G19" s="40"/>
      <c r="H19" s="40"/>
      <c r="I19" s="40"/>
      <c r="J19" s="40"/>
      <c r="K19" s="40"/>
      <c r="L19" s="40"/>
      <c r="M19" s="40"/>
      <c r="N19" s="40"/>
      <c r="O19" s="40"/>
      <c r="P19" s="40"/>
      <c r="Q19" s="40"/>
      <c r="R19" s="40"/>
      <c r="S19" s="40"/>
      <c r="T19" s="40"/>
      <c r="U19" s="40"/>
      <c r="V19" s="40"/>
      <c r="W19" s="40"/>
    </row>
    <row r="20" spans="1:24" s="30" customFormat="1" x14ac:dyDescent="0.2">
      <c r="A20" s="30" t="s">
        <v>158</v>
      </c>
      <c r="C20" s="140"/>
      <c r="D20" s="40">
        <f>'Ahorro GLP-GN'!$C$14*D15*$C$4</f>
        <v>1891617.6331332016</v>
      </c>
      <c r="E20" s="40">
        <f>'Ahorro GLP-GN'!$C$14*E15*$C$4</f>
        <v>2432079.8140284023</v>
      </c>
      <c r="F20" s="40">
        <f>'Ahorro GLP-GN'!$C$14*F15*$C$4</f>
        <v>2972541.9949236028</v>
      </c>
      <c r="G20" s="40">
        <f>'Ahorro GLP-GN'!$C$14*G15*$C$4</f>
        <v>3513004.1758188037</v>
      </c>
      <c r="H20" s="40">
        <f>'Ahorro GLP-GN'!$C$14*H15*$C$4</f>
        <v>4053466.3567140042</v>
      </c>
      <c r="I20" s="40">
        <f>'Ahorro GLP-GN'!$C$14*I15*$C$4</f>
        <v>4323697.4471616037</v>
      </c>
      <c r="J20" s="40">
        <f>'Ahorro GLP-GN'!$C$14*J15*$C$4</f>
        <v>4593928.5376092046</v>
      </c>
      <c r="K20" s="40">
        <f>'Ahorro GLP-GN'!$C$14*K15*$C$4</f>
        <v>4864159.6280568046</v>
      </c>
      <c r="L20" s="40">
        <f>'Ahorro GLP-GN'!$C$14*L15*$C$4</f>
        <v>5134390.7185044046</v>
      </c>
      <c r="M20" s="40">
        <f>'Ahorro GLP-GN'!$C$14*M15*$C$4</f>
        <v>5404621.8089520056</v>
      </c>
      <c r="N20" s="40">
        <f>'Ahorro GLP-GN'!$C$14*N15*$C$4</f>
        <v>5404621.8089520056</v>
      </c>
      <c r="O20" s="40">
        <f>'Ahorro GLP-GN'!$C$14*O15*$C$4</f>
        <v>5404621.8089520056</v>
      </c>
      <c r="P20" s="40">
        <f>'Ahorro GLP-GN'!$C$14*P15*$C$4</f>
        <v>5404621.8089520056</v>
      </c>
      <c r="Q20" s="40">
        <f>'Ahorro GLP-GN'!$C$14*Q15*$C$4</f>
        <v>5404621.8089520056</v>
      </c>
      <c r="R20" s="40">
        <f>'Ahorro GLP-GN'!$C$14*R15*$C$4</f>
        <v>5404621.8089520056</v>
      </c>
      <c r="S20" s="40">
        <f>'Ahorro GLP-GN'!$C$14*S15*$C$4</f>
        <v>5404621.8089520056</v>
      </c>
      <c r="T20" s="40">
        <f>'Ahorro GLP-GN'!$C$14*T15*$C$4</f>
        <v>5404621.8089520056</v>
      </c>
      <c r="U20" s="40">
        <f>'Ahorro GLP-GN'!$C$14*U15*$C$4</f>
        <v>5404621.8089520056</v>
      </c>
      <c r="V20" s="40">
        <f>'Ahorro GLP-GN'!$C$14*V15*$C$4</f>
        <v>5404621.8089520056</v>
      </c>
      <c r="W20" s="40">
        <f>'Ahorro GLP-GN'!$C$14*W15*$C$4</f>
        <v>5404621.8089520056</v>
      </c>
      <c r="X20"/>
    </row>
    <row r="21" spans="1:24" x14ac:dyDescent="0.2">
      <c r="A21" s="30" t="s">
        <v>156</v>
      </c>
      <c r="C21" s="40"/>
      <c r="D21" s="40">
        <f>+$C$4*D15*'Ahorro GLP-GN'!$E$14</f>
        <v>1003217.0399999995</v>
      </c>
      <c r="E21" s="40">
        <f>+$C$4*E15*'Ahorro GLP-GN'!$E$14</f>
        <v>1289850.4799999993</v>
      </c>
      <c r="F21" s="40">
        <f>+$C$4*F15*'Ahorro GLP-GN'!$E$14</f>
        <v>1576483.919999999</v>
      </c>
      <c r="G21" s="40">
        <f>+$C$4*G15*'Ahorro GLP-GN'!$E$14</f>
        <v>1863117.3599999989</v>
      </c>
      <c r="H21" s="40">
        <f>+$C$4*H15*'Ahorro GLP-GN'!$E$14</f>
        <v>2149750.7999999989</v>
      </c>
      <c r="I21" s="40">
        <f>+$C$4*I15*'Ahorro GLP-GN'!$E$14</f>
        <v>2293067.5199999986</v>
      </c>
      <c r="J21" s="40">
        <f>+$C$4*J15*'Ahorro GLP-GN'!$E$14</f>
        <v>2436384.2399999988</v>
      </c>
      <c r="K21" s="40">
        <f>+$C$4*K15*'Ahorro GLP-GN'!$E$14</f>
        <v>2579700.9599999986</v>
      </c>
      <c r="L21" s="40">
        <f>+$C$4*L15*'Ahorro GLP-GN'!$E$14</f>
        <v>2723017.6799999983</v>
      </c>
      <c r="M21" s="40">
        <f>+$C$4*M15*'Ahorro GLP-GN'!$E$14</f>
        <v>2866334.3999999985</v>
      </c>
      <c r="N21" s="40">
        <f>+$C$4*N15*'Ahorro GLP-GN'!$E$14</f>
        <v>2866334.3999999985</v>
      </c>
      <c r="O21" s="40">
        <f>+$C$4*O15*'Ahorro GLP-GN'!$E$14</f>
        <v>2866334.3999999985</v>
      </c>
      <c r="P21" s="40">
        <f>+$C$4*P15*'Ahorro GLP-GN'!$E$14</f>
        <v>2866334.3999999985</v>
      </c>
      <c r="Q21" s="40">
        <f>+$C$4*Q15*'Ahorro GLP-GN'!$E$14</f>
        <v>2866334.3999999985</v>
      </c>
      <c r="R21" s="40">
        <f>+$C$4*R15*'Ahorro GLP-GN'!$E$14</f>
        <v>2866334.3999999985</v>
      </c>
      <c r="S21" s="40">
        <f>+$C$4*S15*'Ahorro GLP-GN'!$E$14</f>
        <v>2866334.3999999985</v>
      </c>
      <c r="T21" s="40">
        <f>+$C$4*T15*'Ahorro GLP-GN'!$E$14</f>
        <v>2866334.3999999985</v>
      </c>
      <c r="U21" s="40">
        <f>+$C$4*U15*'Ahorro GLP-GN'!$E$14</f>
        <v>2866334.3999999985</v>
      </c>
      <c r="V21" s="40">
        <f>+$C$4*V15*'Ahorro GLP-GN'!$E$14</f>
        <v>2866334.3999999985</v>
      </c>
      <c r="W21" s="40">
        <f>+$C$4*W15*'Ahorro GLP-GN'!$E$14</f>
        <v>2866334.3999999985</v>
      </c>
    </row>
    <row r="22" spans="1:24" x14ac:dyDescent="0.2">
      <c r="A22" t="s">
        <v>10</v>
      </c>
      <c r="C22" s="40"/>
      <c r="D22" s="40">
        <f>+$C$6*(Metodologia!$B$5-Metodologia!$B$7)*(D15-C15)</f>
        <v>47584320.00000006</v>
      </c>
      <c r="E22" s="40">
        <f>+$C$6*(Metodologia!$B$5-Metodologia!$B$7)*(E15-D15)</f>
        <v>13595520.000000022</v>
      </c>
      <c r="F22" s="40">
        <f>+$C$6*(Metodologia!$B$5-Metodologia!$B$7)*(F15-E15)</f>
        <v>13595520.000000022</v>
      </c>
      <c r="G22" s="40">
        <f>+$C$6*(Metodologia!$B$5-Metodologia!$B$7)*(G15-F15)</f>
        <v>13595520.000000015</v>
      </c>
      <c r="H22" s="40">
        <f>+$C$6*(Metodologia!$B$5-Metodologia!$B$7)*(H15-G15)</f>
        <v>13595520.000000015</v>
      </c>
      <c r="I22" s="40">
        <f>+$C$6*(Metodologia!$B$5-Metodologia!$B$7)*(I15-H15)</f>
        <v>6797760.0000000149</v>
      </c>
      <c r="J22" s="40">
        <f>+$C$6*(Metodologia!$B$5-Metodologia!$B$7)*(J15-I15)</f>
        <v>6797760</v>
      </c>
      <c r="K22" s="40">
        <f>+$C$6*(Metodologia!$B$5-Metodologia!$B$7)*(K15-J15)</f>
        <v>6797760.0000000149</v>
      </c>
      <c r="L22" s="40">
        <f>+$C$6*(Metodologia!$B$5-Metodologia!$B$7)*(L15-K15)</f>
        <v>6797760</v>
      </c>
      <c r="M22" s="40">
        <f>+$C$6*(Metodologia!$B$5-Metodologia!$B$7)*(M15-L15)</f>
        <v>6797760.0000000149</v>
      </c>
      <c r="N22" s="40">
        <f>+$C$6*(Metodologia!$B$5-Metodologia!$B$7)*(N15-M15)</f>
        <v>0</v>
      </c>
      <c r="O22" s="40">
        <f>+$C$6*(Metodologia!$B$5-Metodologia!$B$7)*(O15-N15)</f>
        <v>0</v>
      </c>
      <c r="P22" s="40">
        <f>+$C$6*(Metodologia!$B$5-Metodologia!$B$7)*(P15-O15)</f>
        <v>0</v>
      </c>
      <c r="Q22" s="40">
        <f>+$C$6*(Metodologia!$B$5-Metodologia!$B$7)*(Q15-P15)</f>
        <v>0</v>
      </c>
      <c r="R22" s="40">
        <f>+$C$6*(Metodologia!$B$5-Metodologia!$B$7)*(R15-Q15)</f>
        <v>0</v>
      </c>
      <c r="S22" s="40">
        <f>+$C$6*(Metodologia!$B$5-Metodologia!$B$7)*(S15-R15)</f>
        <v>0</v>
      </c>
      <c r="T22" s="40">
        <f>+$C$6*(Metodologia!$B$5-Metodologia!$B$7)*(T15-S15)</f>
        <v>0</v>
      </c>
      <c r="U22" s="40">
        <f>+$C$6*(Metodologia!$B$5-Metodologia!$B$7)*(U15-T15)</f>
        <v>0</v>
      </c>
      <c r="V22" s="40">
        <f>+$C$6*(Metodologia!$B$5-Metodologia!$B$7)*(V15-U15)</f>
        <v>0</v>
      </c>
      <c r="W22" s="40">
        <f>+$C$6*(Metodologia!$B$5-Metodologia!$B$7)*(W15-V15)</f>
        <v>0</v>
      </c>
    </row>
    <row r="23" spans="1:24" x14ac:dyDescent="0.2">
      <c r="C23" s="40"/>
      <c r="D23" s="40"/>
      <c r="E23" s="40"/>
      <c r="F23" s="40"/>
      <c r="G23" s="40"/>
      <c r="H23" s="40"/>
      <c r="I23" s="40"/>
      <c r="J23" s="40"/>
      <c r="K23" s="40"/>
      <c r="L23" s="40"/>
      <c r="M23" s="40"/>
      <c r="N23" s="40"/>
      <c r="O23" s="40"/>
      <c r="P23" s="40"/>
      <c r="Q23" s="40"/>
      <c r="R23" s="40"/>
      <c r="S23" s="40"/>
      <c r="T23" s="40"/>
      <c r="U23" s="40"/>
      <c r="V23" s="40"/>
      <c r="W23" s="40"/>
    </row>
    <row r="24" spans="1:24" x14ac:dyDescent="0.2">
      <c r="C24" s="40"/>
      <c r="D24" s="40"/>
      <c r="E24" s="40"/>
      <c r="F24" s="40"/>
      <c r="G24" s="40"/>
      <c r="H24" s="40"/>
      <c r="I24" s="40"/>
      <c r="J24" s="40"/>
      <c r="K24" s="40"/>
      <c r="L24" s="40"/>
      <c r="M24" s="40"/>
      <c r="N24" s="40"/>
      <c r="O24" s="40"/>
      <c r="P24" s="40"/>
      <c r="Q24" s="40"/>
      <c r="R24" s="40"/>
      <c r="S24" s="40"/>
      <c r="T24" s="40"/>
      <c r="U24" s="40"/>
      <c r="V24" s="40"/>
      <c r="W24" s="40"/>
    </row>
    <row r="25" spans="1:24" x14ac:dyDescent="0.2">
      <c r="A25" t="s">
        <v>4</v>
      </c>
      <c r="C25" s="40">
        <f>+SUM(C16,C18:C18,C20,C22)</f>
        <v>0</v>
      </c>
      <c r="D25" s="40">
        <f>+SUM(D20:D22)-SUM(D16:D18)</f>
        <v>26412442.147239264</v>
      </c>
      <c r="E25" s="40">
        <f>+SUM(E20:E22)-SUM(E16:E18)</f>
        <v>9587234.1893075611</v>
      </c>
      <c r="F25" s="40">
        <f>+SUM(F20:F22)-SUM(F16:F18)</f>
        <v>10170326.231375903</v>
      </c>
      <c r="G25" s="40">
        <f>+SUM(G20:G22)-SUM(G16:G18)</f>
        <v>10753418.273444241</v>
      </c>
      <c r="H25" s="40">
        <f>+SUM(H20:H22)-SUM(H16:H18)</f>
        <v>11336510.315512586</v>
      </c>
      <c r="I25" s="40">
        <f t="shared" ref="I25:V25" si="2">+SUM(I20:I22)-SUM(I16:I18)</f>
        <v>8146396.3365467535</v>
      </c>
      <c r="J25" s="40">
        <f t="shared" si="2"/>
        <v>8437942.357580917</v>
      </c>
      <c r="K25" s="40">
        <f t="shared" si="2"/>
        <v>8729488.3786150962</v>
      </c>
      <c r="L25" s="40">
        <f t="shared" si="2"/>
        <v>9021034.3996492587</v>
      </c>
      <c r="M25" s="40">
        <f>+SUM(M20:M22)-SUM(M16:M18)</f>
        <v>9312580.4206834398</v>
      </c>
      <c r="N25" s="40">
        <f t="shared" si="2"/>
        <v>5830920.4206834268</v>
      </c>
      <c r="O25" s="40">
        <f t="shared" si="2"/>
        <v>5830920.4206834268</v>
      </c>
      <c r="P25" s="40">
        <f t="shared" si="2"/>
        <v>5830920.4206834268</v>
      </c>
      <c r="Q25" s="40">
        <f t="shared" si="2"/>
        <v>5830920.4206834268</v>
      </c>
      <c r="R25" s="40">
        <f>+SUM(R20:R22)-SUM(R16:R18)</f>
        <v>5830920.4206834268</v>
      </c>
      <c r="S25" s="40">
        <f t="shared" si="2"/>
        <v>5830920.4206834268</v>
      </c>
      <c r="T25" s="40">
        <f t="shared" si="2"/>
        <v>5830920.4206834268</v>
      </c>
      <c r="U25" s="40">
        <f t="shared" si="2"/>
        <v>5830920.4206834268</v>
      </c>
      <c r="V25" s="40">
        <f t="shared" si="2"/>
        <v>5830920.4206834268</v>
      </c>
      <c r="W25" s="40">
        <f>+SUM(W20:W22)-SUM(W16:W18)</f>
        <v>5830920.4206834268</v>
      </c>
    </row>
    <row r="26" spans="1:24" x14ac:dyDescent="0.2">
      <c r="A26" t="s">
        <v>9</v>
      </c>
      <c r="C26" s="132">
        <f>1/(1+$C$10)^C13</f>
        <v>1</v>
      </c>
      <c r="D26" s="132">
        <f t="shared" ref="D26:W26" si="3">1/(1+$C$10)^D13</f>
        <v>0.91466203237903598</v>
      </c>
      <c r="E26" s="132">
        <f t="shared" si="3"/>
        <v>0.83660663347574871</v>
      </c>
      <c r="F26" s="132">
        <f t="shared" si="3"/>
        <v>0.76521232367671166</v>
      </c>
      <c r="G26" s="132">
        <f t="shared" si="3"/>
        <v>0.69991065917562578</v>
      </c>
      <c r="H26" s="132">
        <f t="shared" si="3"/>
        <v>0.64018170600532864</v>
      </c>
      <c r="I26" s="132">
        <f t="shared" si="3"/>
        <v>0.58554990030671239</v>
      </c>
      <c r="J26" s="132">
        <f t="shared" si="3"/>
        <v>0.53558026187387953</v>
      </c>
      <c r="K26" s="132">
        <f t="shared" si="3"/>
        <v>0.48987493082765893</v>
      </c>
      <c r="L26" s="132">
        <f t="shared" si="3"/>
        <v>0.44806999984236617</v>
      </c>
      <c r="M26" s="132">
        <f t="shared" si="3"/>
        <v>0.40983261670389304</v>
      </c>
      <c r="N26" s="132">
        <f t="shared" si="3"/>
        <v>0.37485833412960123</v>
      </c>
      <c r="O26" s="132">
        <f t="shared" si="3"/>
        <v>0.34286868574920082</v>
      </c>
      <c r="P26" s="132">
        <f t="shared" si="3"/>
        <v>0.31360896894649309</v>
      </c>
      <c r="Q26" s="132">
        <f t="shared" si="3"/>
        <v>0.28684621690889334</v>
      </c>
      <c r="R26" s="132">
        <f t="shared" si="3"/>
        <v>0.26236734373812615</v>
      </c>
      <c r="S26" s="132">
        <f t="shared" si="3"/>
        <v>0.23997744785340364</v>
      </c>
      <c r="T26" s="132">
        <f t="shared" si="3"/>
        <v>0.21949826017872831</v>
      </c>
      <c r="U26" s="132">
        <f t="shared" si="3"/>
        <v>0.20076672475873805</v>
      </c>
      <c r="V26" s="132">
        <f t="shared" si="3"/>
        <v>0.18363370050190989</v>
      </c>
      <c r="W26" s="132">
        <f t="shared" si="3"/>
        <v>0.16796277371436008</v>
      </c>
    </row>
    <row r="27" spans="1:24" x14ac:dyDescent="0.2">
      <c r="A27" t="s">
        <v>8</v>
      </c>
      <c r="C27" s="40">
        <f t="shared" ref="C27:H27" si="4">+C26*C25</f>
        <v>0</v>
      </c>
      <c r="D27" s="40">
        <f t="shared" si="4"/>
        <v>24158458.014487576</v>
      </c>
      <c r="E27" s="40">
        <f t="shared" si="4"/>
        <v>8020743.7194601977</v>
      </c>
      <c r="F27" s="40">
        <f t="shared" si="4"/>
        <v>7782458.9680613689</v>
      </c>
      <c r="G27" s="40">
        <f t="shared" si="4"/>
        <v>7526432.0721575785</v>
      </c>
      <c r="H27" s="40">
        <f t="shared" si="4"/>
        <v>7257426.5139318537</v>
      </c>
      <c r="I27" s="40">
        <f t="shared" ref="I27:V27" si="5">+I26*I25</f>
        <v>4770121.5627239188</v>
      </c>
      <c r="J27" s="40">
        <f t="shared" si="5"/>
        <v>4519195.3775498876</v>
      </c>
      <c r="K27" s="40">
        <f t="shared" si="5"/>
        <v>4276357.5156349223</v>
      </c>
      <c r="L27" s="40">
        <f t="shared" si="5"/>
        <v>4042054.8820288233</v>
      </c>
      <c r="M27" s="40">
        <f>+M26*M25</f>
        <v>3816599.2020741352</v>
      </c>
      <c r="N27" s="40">
        <f t="shared" si="5"/>
        <v>2185769.1153396629</v>
      </c>
      <c r="O27" s="40">
        <f t="shared" si="5"/>
        <v>1999240.0213479036</v>
      </c>
      <c r="P27" s="40">
        <f t="shared" si="5"/>
        <v>1828628.9411395811</v>
      </c>
      <c r="Q27" s="40">
        <f t="shared" si="5"/>
        <v>1672577.4637698538</v>
      </c>
      <c r="R27" s="40">
        <f>+R26*R25</f>
        <v>1529843.1023231077</v>
      </c>
      <c r="S27" s="40">
        <f t="shared" si="5"/>
        <v>1399289.4011919035</v>
      </c>
      <c r="T27" s="40">
        <f t="shared" si="5"/>
        <v>1279876.8875806308</v>
      </c>
      <c r="U27" s="40">
        <f t="shared" si="5"/>
        <v>1170654.7951894547</v>
      </c>
      <c r="V27" s="40">
        <f t="shared" si="5"/>
        <v>1070753.4941822507</v>
      </c>
      <c r="W27" s="40">
        <f>+W26*W25</f>
        <v>979377.56716569175</v>
      </c>
    </row>
    <row r="28" spans="1:24" x14ac:dyDescent="0.2">
      <c r="D28" s="41"/>
      <c r="E28" s="41"/>
      <c r="F28" s="41"/>
      <c r="G28" s="41"/>
      <c r="H28" s="41"/>
      <c r="I28" s="41"/>
      <c r="J28" s="41"/>
      <c r="K28" s="41"/>
      <c r="L28" s="41"/>
      <c r="M28" s="41"/>
      <c r="N28" s="41"/>
      <c r="O28" s="41"/>
      <c r="P28" s="41"/>
      <c r="Q28" s="41"/>
      <c r="R28" s="41"/>
      <c r="S28" s="41"/>
      <c r="T28" s="41"/>
      <c r="U28" s="41"/>
      <c r="V28" s="41"/>
      <c r="W28" s="41"/>
    </row>
    <row r="29" spans="1:24" x14ac:dyDescent="0.2">
      <c r="D29" s="2"/>
    </row>
    <row r="31" spans="1:24" x14ac:dyDescent="0.2">
      <c r="D31" s="37"/>
    </row>
    <row r="32" spans="1:24" x14ac:dyDescent="0.2">
      <c r="F32" s="38"/>
    </row>
    <row r="33" spans="6:6" x14ac:dyDescent="0.2">
      <c r="F33" s="14"/>
    </row>
  </sheetData>
  <sheetProtection algorithmName="SHA-512" hashValue="FvGQAYVWuDv5HkJ6a5GqH9iyTjwv4ZAvF+ek8sjqtT1jw88wHAah56N5Uyeecof4ZU9RJfDWENU6OzQLK1QvPA==" saltValue="9ULFaQlF0Bds6z7EIvbtjg==" spinCount="100000" sheet="1" objects="1" scenarios="1"/>
  <pageMargins left="0.25" right="0.25" top="0.75" bottom="0.75" header="0.3" footer="0.3"/>
  <pageSetup paperSize="9" scale="5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33"/>
  <sheetViews>
    <sheetView showGridLines="0" zoomScaleNormal="100" workbookViewId="0">
      <selection activeCell="A13" sqref="A13:XFD13"/>
    </sheetView>
  </sheetViews>
  <sheetFormatPr baseColWidth="10" defaultRowHeight="15" x14ac:dyDescent="0.2"/>
  <cols>
    <col min="1" max="1" width="37.5" bestFit="1" customWidth="1"/>
    <col min="2" max="2" width="3.83203125" customWidth="1"/>
    <col min="3" max="3" width="19" customWidth="1"/>
    <col min="4" max="4" width="14.5" customWidth="1"/>
    <col min="5" max="7" width="14.5" bestFit="1" customWidth="1"/>
    <col min="8" max="8" width="15.5" customWidth="1"/>
    <col min="9" max="9" width="14.33203125" hidden="1" customWidth="1"/>
    <col min="10" max="10" width="12.83203125" hidden="1" customWidth="1"/>
    <col min="11" max="11" width="17.33203125" hidden="1" customWidth="1"/>
    <col min="12" max="12" width="14.33203125" hidden="1" customWidth="1"/>
    <col min="13" max="13" width="14.33203125" bestFit="1" customWidth="1"/>
    <col min="14" max="17" width="14.33203125" hidden="1" customWidth="1"/>
    <col min="18" max="18" width="14.33203125" bestFit="1" customWidth="1"/>
    <col min="19" max="22" width="14.33203125" hidden="1" customWidth="1"/>
    <col min="23" max="23" width="14.83203125" bestFit="1" customWidth="1"/>
    <col min="24" max="24" width="14.6640625" bestFit="1" customWidth="1"/>
  </cols>
  <sheetData>
    <row r="1" spans="1:23" ht="16" thickBot="1" x14ac:dyDescent="0.25"/>
    <row r="2" spans="1:23" x14ac:dyDescent="0.2">
      <c r="A2" s="4" t="s">
        <v>0</v>
      </c>
      <c r="B2" s="11"/>
      <c r="C2" s="7" t="s">
        <v>218</v>
      </c>
    </row>
    <row r="3" spans="1:23" x14ac:dyDescent="0.2">
      <c r="A3" s="5" t="s">
        <v>153</v>
      </c>
      <c r="B3" s="12"/>
      <c r="C3" s="8">
        <v>50</v>
      </c>
    </row>
    <row r="4" spans="1:23" x14ac:dyDescent="0.2">
      <c r="A4" s="5" t="s">
        <v>2</v>
      </c>
      <c r="B4" s="12"/>
      <c r="C4" s="8">
        <v>125</v>
      </c>
    </row>
    <row r="5" spans="1:23" x14ac:dyDescent="0.2">
      <c r="A5" s="5" t="s">
        <v>154</v>
      </c>
      <c r="B5" s="12"/>
      <c r="C5" s="8">
        <f>+'Ahorro GLP-GN'!H3</f>
        <v>800</v>
      </c>
    </row>
    <row r="6" spans="1:23" x14ac:dyDescent="0.2">
      <c r="A6" s="5" t="s">
        <v>30</v>
      </c>
      <c r="B6" s="12"/>
      <c r="C6" s="8">
        <v>125</v>
      </c>
    </row>
    <row r="7" spans="1:23" x14ac:dyDescent="0.2">
      <c r="A7" s="5" t="s">
        <v>129</v>
      </c>
      <c r="B7" s="12"/>
      <c r="C7" s="195">
        <f>19819178.407</f>
        <v>19819178.407000002</v>
      </c>
      <c r="D7" s="16"/>
    </row>
    <row r="8" spans="1:23" ht="16" thickBot="1" x14ac:dyDescent="0.25">
      <c r="A8" s="6" t="s">
        <v>37</v>
      </c>
      <c r="B8" s="13"/>
      <c r="C8" s="9">
        <f>+Metodologia!B14</f>
        <v>33161</v>
      </c>
    </row>
    <row r="9" spans="1:23" ht="16" thickBot="1" x14ac:dyDescent="0.25"/>
    <row r="10" spans="1:23" x14ac:dyDescent="0.2">
      <c r="A10" s="4" t="s">
        <v>5</v>
      </c>
      <c r="B10" s="11"/>
      <c r="C10" s="43">
        <v>9.3299999999999994E-2</v>
      </c>
    </row>
    <row r="11" spans="1:23" ht="16" thickBot="1" x14ac:dyDescent="0.25">
      <c r="A11" s="6" t="s">
        <v>6</v>
      </c>
      <c r="B11" s="13"/>
      <c r="C11" s="42">
        <f>+SUM(C27:W27)</f>
        <v>5705366.1635837695</v>
      </c>
    </row>
    <row r="13" spans="1:23" s="12" customFormat="1" x14ac:dyDescent="0.2">
      <c r="A13" s="210" t="s">
        <v>1</v>
      </c>
      <c r="B13" s="210"/>
      <c r="C13" s="210">
        <v>0</v>
      </c>
      <c r="D13" s="210">
        <v>1</v>
      </c>
      <c r="E13" s="210">
        <f t="shared" ref="E13:W13" si="0">+D13+1</f>
        <v>2</v>
      </c>
      <c r="F13" s="210">
        <f t="shared" si="0"/>
        <v>3</v>
      </c>
      <c r="G13" s="210">
        <f t="shared" si="0"/>
        <v>4</v>
      </c>
      <c r="H13" s="210">
        <f t="shared" si="0"/>
        <v>5</v>
      </c>
      <c r="I13" s="210">
        <f t="shared" si="0"/>
        <v>6</v>
      </c>
      <c r="J13" s="210">
        <f t="shared" si="0"/>
        <v>7</v>
      </c>
      <c r="K13" s="210">
        <f t="shared" si="0"/>
        <v>8</v>
      </c>
      <c r="L13" s="210">
        <f t="shared" si="0"/>
        <v>9</v>
      </c>
      <c r="M13" s="210">
        <f t="shared" si="0"/>
        <v>10</v>
      </c>
      <c r="N13" s="210">
        <f t="shared" si="0"/>
        <v>11</v>
      </c>
      <c r="O13" s="210">
        <f t="shared" si="0"/>
        <v>12</v>
      </c>
      <c r="P13" s="210">
        <f t="shared" si="0"/>
        <v>13</v>
      </c>
      <c r="Q13" s="210">
        <f t="shared" si="0"/>
        <v>14</v>
      </c>
      <c r="R13" s="210">
        <f t="shared" si="0"/>
        <v>15</v>
      </c>
      <c r="S13" s="210">
        <f t="shared" si="0"/>
        <v>16</v>
      </c>
      <c r="T13" s="210">
        <f t="shared" si="0"/>
        <v>17</v>
      </c>
      <c r="U13" s="210">
        <f t="shared" si="0"/>
        <v>18</v>
      </c>
      <c r="V13" s="210">
        <f t="shared" si="0"/>
        <v>19</v>
      </c>
      <c r="W13" s="210">
        <f t="shared" si="0"/>
        <v>20</v>
      </c>
    </row>
    <row r="15" spans="1:23" x14ac:dyDescent="0.2">
      <c r="A15" t="s">
        <v>7</v>
      </c>
      <c r="C15" s="2">
        <v>0</v>
      </c>
      <c r="D15" s="2">
        <v>0.35</v>
      </c>
      <c r="E15" s="2">
        <v>0.45</v>
      </c>
      <c r="F15" s="2">
        <v>0.55000000000000004</v>
      </c>
      <c r="G15" s="2">
        <v>0.65</v>
      </c>
      <c r="H15" s="2">
        <v>0.75</v>
      </c>
      <c r="I15" s="2">
        <v>0.8</v>
      </c>
      <c r="J15" s="2">
        <v>0.85</v>
      </c>
      <c r="K15" s="2">
        <v>0.9</v>
      </c>
      <c r="L15" s="2">
        <v>0.95</v>
      </c>
      <c r="M15" s="2">
        <v>1</v>
      </c>
      <c r="N15" s="2">
        <v>1</v>
      </c>
      <c r="O15" s="2">
        <v>1</v>
      </c>
      <c r="P15" s="2">
        <v>1</v>
      </c>
      <c r="Q15" s="2">
        <v>1</v>
      </c>
      <c r="R15" s="2">
        <v>1</v>
      </c>
      <c r="S15" s="2">
        <v>1</v>
      </c>
      <c r="T15" s="2">
        <v>1</v>
      </c>
      <c r="U15" s="2">
        <v>1</v>
      </c>
      <c r="V15" s="2">
        <v>1</v>
      </c>
      <c r="W15" s="2">
        <v>1</v>
      </c>
    </row>
    <row r="16" spans="1:23" x14ac:dyDescent="0.2">
      <c r="A16" s="16"/>
      <c r="B16" s="16"/>
      <c r="C16" s="197"/>
      <c r="D16" s="41"/>
    </row>
    <row r="17" spans="1:24" x14ac:dyDescent="0.2">
      <c r="A17" t="s">
        <v>155</v>
      </c>
      <c r="C17" s="3"/>
      <c r="D17" s="40">
        <f>+$C$5*$C$4*D15*'Costo fiscal Estado Nac'!$D$30</f>
        <v>53375.782868375114</v>
      </c>
      <c r="E17" s="40">
        <f>+$C$5*$C$4*E15*'Costo fiscal Estado Nac'!$D$30</f>
        <v>68626.006545053722</v>
      </c>
      <c r="F17" s="40">
        <f>+$C$5*$C$4*F15*'Costo fiscal Estado Nac'!$D$30</f>
        <v>83876.23022173233</v>
      </c>
      <c r="G17" s="40">
        <f>+$C$5*$C$4*G15*'Costo fiscal Estado Nac'!$D$30</f>
        <v>99126.453898410924</v>
      </c>
      <c r="H17" s="40">
        <f>+$C$5*$C$4*H15*'Costo fiscal Estado Nac'!$D$30</f>
        <v>114376.67757508953</v>
      </c>
      <c r="I17" s="40">
        <f>+$C$5*$C$4*I15*'Costo fiscal Estado Nac'!$D$30</f>
        <v>122001.78941342884</v>
      </c>
      <c r="J17" s="40">
        <f>+$C$5*$C$4*J15*'Costo fiscal Estado Nac'!$D$30</f>
        <v>129626.90125176814</v>
      </c>
      <c r="K17" s="40">
        <f>+$C$5*$C$4*K15*'Costo fiscal Estado Nac'!$D$30</f>
        <v>137252.01309010744</v>
      </c>
      <c r="L17" s="40">
        <f>+$C$5*$C$4*L15*'Costo fiscal Estado Nac'!$D$30</f>
        <v>144877.12492844675</v>
      </c>
      <c r="M17" s="40">
        <f>+$C$5*$C$4*M15*'Costo fiscal Estado Nac'!$D$30</f>
        <v>152502.23676678605</v>
      </c>
      <c r="N17" s="40">
        <f>+$C$5*$C$4*N15*'Costo fiscal Estado Nac'!$D$30</f>
        <v>152502.23676678605</v>
      </c>
      <c r="O17" s="40">
        <f>+$C$5*$C$4*O15*'Costo fiscal Estado Nac'!$D$30</f>
        <v>152502.23676678605</v>
      </c>
      <c r="P17" s="40">
        <f>+$C$5*$C$4*P15*'Costo fiscal Estado Nac'!$D$30</f>
        <v>152502.23676678605</v>
      </c>
      <c r="Q17" s="40">
        <f>+$C$5*$C$4*Q15*'Costo fiscal Estado Nac'!$D$30</f>
        <v>152502.23676678605</v>
      </c>
      <c r="R17" s="40">
        <f>+$C$5*$C$4*R15*'Costo fiscal Estado Nac'!$D$30</f>
        <v>152502.23676678605</v>
      </c>
      <c r="S17" s="40">
        <f>+$C$5*$C$4*S15*'Costo fiscal Estado Nac'!$D$30</f>
        <v>152502.23676678605</v>
      </c>
      <c r="T17" s="40">
        <f>+$C$5*$C$4*T15*'Costo fiscal Estado Nac'!$D$30</f>
        <v>152502.23676678605</v>
      </c>
      <c r="U17" s="40">
        <f>+$C$5*$C$4*U15*'Costo fiscal Estado Nac'!$D$30</f>
        <v>152502.23676678605</v>
      </c>
      <c r="V17" s="40">
        <f>+$C$5*$C$4*V15*'Costo fiscal Estado Nac'!$D$30</f>
        <v>152502.23676678605</v>
      </c>
      <c r="W17" s="40">
        <f>+$C$5*$C$4*W15*'Costo fiscal Estado Nac'!$D$30</f>
        <v>152502.23676678605</v>
      </c>
    </row>
    <row r="18" spans="1:24" x14ac:dyDescent="0.2">
      <c r="A18" t="s">
        <v>3</v>
      </c>
      <c r="C18" s="3"/>
      <c r="D18" s="40">
        <f t="shared" ref="D18:W18" si="1">+$C$8*(D15-C15)*$C$4</f>
        <v>1450793.7499999998</v>
      </c>
      <c r="E18" s="40">
        <f t="shared" si="1"/>
        <v>414512.50000000017</v>
      </c>
      <c r="F18" s="40">
        <f t="shared" si="1"/>
        <v>414512.50000000017</v>
      </c>
      <c r="G18" s="40">
        <f t="shared" si="1"/>
        <v>414512.49999999994</v>
      </c>
      <c r="H18" s="40">
        <f t="shared" si="1"/>
        <v>414512.49999999994</v>
      </c>
      <c r="I18" s="40">
        <f t="shared" si="1"/>
        <v>207256.2500000002</v>
      </c>
      <c r="J18" s="40">
        <f t="shared" si="1"/>
        <v>207256.24999999971</v>
      </c>
      <c r="K18" s="40">
        <f t="shared" si="1"/>
        <v>207256.2500000002</v>
      </c>
      <c r="L18" s="40">
        <f t="shared" si="1"/>
        <v>207256.24999999971</v>
      </c>
      <c r="M18" s="40">
        <f t="shared" si="1"/>
        <v>207256.2500000002</v>
      </c>
      <c r="N18" s="40">
        <f t="shared" si="1"/>
        <v>0</v>
      </c>
      <c r="O18" s="40">
        <f t="shared" si="1"/>
        <v>0</v>
      </c>
      <c r="P18" s="40">
        <f t="shared" si="1"/>
        <v>0</v>
      </c>
      <c r="Q18" s="40">
        <f t="shared" si="1"/>
        <v>0</v>
      </c>
      <c r="R18" s="40">
        <f t="shared" si="1"/>
        <v>0</v>
      </c>
      <c r="S18" s="40">
        <f t="shared" si="1"/>
        <v>0</v>
      </c>
      <c r="T18" s="40">
        <f t="shared" si="1"/>
        <v>0</v>
      </c>
      <c r="U18" s="40">
        <f t="shared" si="1"/>
        <v>0</v>
      </c>
      <c r="V18" s="40">
        <f t="shared" si="1"/>
        <v>0</v>
      </c>
      <c r="W18" s="40">
        <f t="shared" si="1"/>
        <v>0</v>
      </c>
    </row>
    <row r="19" spans="1:24" x14ac:dyDescent="0.2">
      <c r="C19" s="3"/>
      <c r="D19" s="3"/>
      <c r="E19" s="3"/>
      <c r="F19" s="3"/>
      <c r="G19" s="3"/>
      <c r="H19" s="3"/>
      <c r="I19" s="3"/>
      <c r="J19" s="3"/>
      <c r="K19" s="3"/>
      <c r="L19" s="3"/>
      <c r="M19" s="3"/>
      <c r="N19" s="3"/>
      <c r="O19" s="3"/>
      <c r="P19" s="3"/>
      <c r="Q19" s="3"/>
      <c r="R19" s="3"/>
      <c r="S19" s="3"/>
      <c r="T19" s="3"/>
      <c r="U19" s="3"/>
      <c r="V19" s="3"/>
      <c r="W19" s="3"/>
    </row>
    <row r="20" spans="1:24" s="30" customFormat="1" x14ac:dyDescent="0.2">
      <c r="A20" s="30" t="s">
        <v>158</v>
      </c>
      <c r="C20" s="31"/>
      <c r="D20" s="40">
        <f>'Ahorro GLP-GN'!$C$14*D15*$C$4</f>
        <v>118226.1020708251</v>
      </c>
      <c r="E20" s="40">
        <f>'Ahorro GLP-GN'!$C$14*E15*$C$4</f>
        <v>152004.98837677515</v>
      </c>
      <c r="F20" s="40">
        <f>'Ahorro GLP-GN'!$C$14*F15*$C$4</f>
        <v>185783.87468272517</v>
      </c>
      <c r="G20" s="40">
        <f>'Ahorro GLP-GN'!$C$14*G15*$C$4</f>
        <v>219562.76098867523</v>
      </c>
      <c r="H20" s="40">
        <f>'Ahorro GLP-GN'!$C$14*H15*$C$4</f>
        <v>253341.64729462526</v>
      </c>
      <c r="I20" s="40">
        <f>'Ahorro GLP-GN'!$C$14*I15*$C$4</f>
        <v>270231.09044760023</v>
      </c>
      <c r="J20" s="40">
        <f>'Ahorro GLP-GN'!$C$14*J15*$C$4</f>
        <v>287120.53360057529</v>
      </c>
      <c r="K20" s="40">
        <f>'Ahorro GLP-GN'!$C$14*K15*$C$4</f>
        <v>304009.97675355029</v>
      </c>
      <c r="L20" s="40">
        <f>'Ahorro GLP-GN'!$C$14*L15*$C$4</f>
        <v>320899.41990652529</v>
      </c>
      <c r="M20" s="40">
        <f>'Ahorro GLP-GN'!$C$14*M15*$C$4</f>
        <v>337788.86305950035</v>
      </c>
      <c r="N20" s="40">
        <f>'Ahorro GLP-GN'!$C$14*N15*$C$4</f>
        <v>337788.86305950035</v>
      </c>
      <c r="O20" s="40">
        <f>'Ahorro GLP-GN'!$C$14*O15*$C$4</f>
        <v>337788.86305950035</v>
      </c>
      <c r="P20" s="40">
        <f>'Ahorro GLP-GN'!$C$14*P15*$C$4</f>
        <v>337788.86305950035</v>
      </c>
      <c r="Q20" s="40">
        <f>'Ahorro GLP-GN'!$C$14*Q15*$C$4</f>
        <v>337788.86305950035</v>
      </c>
      <c r="R20" s="40">
        <f>'Ahorro GLP-GN'!$C$14*R15*$C$4</f>
        <v>337788.86305950035</v>
      </c>
      <c r="S20" s="40">
        <f>'Ahorro GLP-GN'!$C$14*S15*$C$4</f>
        <v>337788.86305950035</v>
      </c>
      <c r="T20" s="40">
        <f>'Ahorro GLP-GN'!$C$14*T15*$C$4</f>
        <v>337788.86305950035</v>
      </c>
      <c r="U20" s="40">
        <f>'Ahorro GLP-GN'!$C$14*U15*$C$4</f>
        <v>337788.86305950035</v>
      </c>
      <c r="V20" s="40">
        <f>'Ahorro GLP-GN'!$C$14*V15*$C$4</f>
        <v>337788.86305950035</v>
      </c>
      <c r="W20" s="40">
        <f>'Ahorro GLP-GN'!$C$14*W15*$C$4</f>
        <v>337788.86305950035</v>
      </c>
      <c r="X20"/>
    </row>
    <row r="21" spans="1:24" x14ac:dyDescent="0.2">
      <c r="A21" s="30" t="s">
        <v>156</v>
      </c>
      <c r="C21" s="3"/>
      <c r="D21" s="40">
        <f>+$C$4*D15*'Ahorro GLP-GN'!$E$14</f>
        <v>62701.064999999966</v>
      </c>
      <c r="E21" s="40">
        <f>+$C$4*E15*'Ahorro GLP-GN'!$E$14</f>
        <v>80615.654999999955</v>
      </c>
      <c r="F21" s="40">
        <f>+$C$4*F15*'Ahorro GLP-GN'!$E$14</f>
        <v>98530.244999999937</v>
      </c>
      <c r="G21" s="40">
        <f>+$C$4*G15*'Ahorro GLP-GN'!$E$14</f>
        <v>116444.83499999993</v>
      </c>
      <c r="H21" s="40">
        <f>+$C$4*H15*'Ahorro GLP-GN'!$E$14</f>
        <v>134359.42499999993</v>
      </c>
      <c r="I21" s="40">
        <f>+$C$4*I15*'Ahorro GLP-GN'!$E$14</f>
        <v>143316.71999999991</v>
      </c>
      <c r="J21" s="40">
        <f>+$C$4*J15*'Ahorro GLP-GN'!$E$14</f>
        <v>152274.01499999993</v>
      </c>
      <c r="K21" s="40">
        <f>+$C$4*K15*'Ahorro GLP-GN'!$E$14</f>
        <v>161231.30999999991</v>
      </c>
      <c r="L21" s="40">
        <f>+$C$4*L15*'Ahorro GLP-GN'!$E$14</f>
        <v>170188.60499999989</v>
      </c>
      <c r="M21" s="40">
        <f>+$C$4*M15*'Ahorro GLP-GN'!$E$14</f>
        <v>179145.89999999991</v>
      </c>
      <c r="N21" s="40">
        <f>+$C$4*N15*'Ahorro GLP-GN'!$E$14</f>
        <v>179145.89999999991</v>
      </c>
      <c r="O21" s="40">
        <f>+$C$4*O15*'Ahorro GLP-GN'!$E$14</f>
        <v>179145.89999999991</v>
      </c>
      <c r="P21" s="40">
        <f>+$C$4*P15*'Ahorro GLP-GN'!$E$14</f>
        <v>179145.89999999991</v>
      </c>
      <c r="Q21" s="40">
        <f>+$C$4*Q15*'Ahorro GLP-GN'!$E$14</f>
        <v>179145.89999999991</v>
      </c>
      <c r="R21" s="40">
        <f>+$C$4*R15*'Ahorro GLP-GN'!$E$14</f>
        <v>179145.89999999991</v>
      </c>
      <c r="S21" s="40">
        <f>+$C$4*S15*'Ahorro GLP-GN'!$E$14</f>
        <v>179145.89999999991</v>
      </c>
      <c r="T21" s="40">
        <f>+$C$4*T15*'Ahorro GLP-GN'!$E$14</f>
        <v>179145.89999999991</v>
      </c>
      <c r="U21" s="40">
        <f>+$C$4*U15*'Ahorro GLP-GN'!$E$14</f>
        <v>179145.89999999991</v>
      </c>
      <c r="V21" s="40">
        <f>+$C$4*V15*'Ahorro GLP-GN'!$E$14</f>
        <v>179145.89999999991</v>
      </c>
      <c r="W21" s="40">
        <f>+$C$4*W15*'Ahorro GLP-GN'!$E$14</f>
        <v>179145.89999999991</v>
      </c>
    </row>
    <row r="22" spans="1:24" x14ac:dyDescent="0.2">
      <c r="A22" t="s">
        <v>10</v>
      </c>
      <c r="C22" s="3"/>
      <c r="D22" s="40">
        <f>+$C$6*(Metodologia!$B$5-Metodologia!$B$7)*(D15-C15)</f>
        <v>2974020.0000000037</v>
      </c>
      <c r="E22" s="40">
        <f>+$C$6*(Metodologia!$B$5-Metodologia!$B$7)*(E15-D15)</f>
        <v>849720.0000000014</v>
      </c>
      <c r="F22" s="40">
        <f>+$C$6*(Metodologia!$B$5-Metodologia!$B$7)*(F15-E15)</f>
        <v>849720.0000000014</v>
      </c>
      <c r="G22" s="40">
        <f>+$C$6*(Metodologia!$B$5-Metodologia!$B$7)*(G15-F15)</f>
        <v>849720.00000000093</v>
      </c>
      <c r="H22" s="40">
        <f>+$C$6*(Metodologia!$B$5-Metodologia!$B$7)*(H15-G15)</f>
        <v>849720.00000000093</v>
      </c>
      <c r="I22" s="40">
        <f>+$C$6*(Metodologia!$B$5-Metodologia!$B$7)*(I15-H15)</f>
        <v>424860.00000000093</v>
      </c>
      <c r="J22" s="40">
        <f>+$C$6*(Metodologia!$B$5-Metodologia!$B$7)*(J15-I15)</f>
        <v>424860</v>
      </c>
      <c r="K22" s="40">
        <f>+$C$6*(Metodologia!$B$5-Metodologia!$B$7)*(K15-J15)</f>
        <v>424860.00000000093</v>
      </c>
      <c r="L22" s="40">
        <f>+$C$6*(Metodologia!$B$5-Metodologia!$B$7)*(L15-K15)</f>
        <v>424860</v>
      </c>
      <c r="M22" s="40">
        <f>+$C$6*(Metodologia!$B$5-Metodologia!$B$7)*(M15-L15)</f>
        <v>424860.00000000093</v>
      </c>
      <c r="N22" s="40">
        <f>+$C$6*(Metodologia!$B$5-Metodologia!$B$7)*(N15-M15)</f>
        <v>0</v>
      </c>
      <c r="O22" s="40">
        <f>+$C$6*(Metodologia!$B$5-Metodologia!$B$7)*(O15-N15)</f>
        <v>0</v>
      </c>
      <c r="P22" s="40">
        <f>+$C$6*(Metodologia!$B$5-Metodologia!$B$7)*(P15-O15)</f>
        <v>0</v>
      </c>
      <c r="Q22" s="40">
        <f>+$C$6*(Metodologia!$B$5-Metodologia!$B$7)*(Q15-P15)</f>
        <v>0</v>
      </c>
      <c r="R22" s="40">
        <f>+$C$6*(Metodologia!$B$5-Metodologia!$B$7)*(R15-Q15)</f>
        <v>0</v>
      </c>
      <c r="S22" s="40">
        <f>+$C$6*(Metodologia!$B$5-Metodologia!$B$7)*(S15-R15)</f>
        <v>0</v>
      </c>
      <c r="T22" s="40">
        <f>+$C$6*(Metodologia!$B$5-Metodologia!$B$7)*(T15-S15)</f>
        <v>0</v>
      </c>
      <c r="U22" s="40">
        <f>+$C$6*(Metodologia!$B$5-Metodologia!$B$7)*(U15-T15)</f>
        <v>0</v>
      </c>
      <c r="V22" s="40">
        <f>+$C$6*(Metodologia!$B$5-Metodologia!$B$7)*(V15-U15)</f>
        <v>0</v>
      </c>
      <c r="W22" s="40">
        <f>+$C$6*(Metodologia!$B$5-Metodologia!$B$7)*(W15-V15)</f>
        <v>0</v>
      </c>
    </row>
    <row r="23" spans="1:24" x14ac:dyDescent="0.2">
      <c r="C23" s="3"/>
      <c r="D23" s="3"/>
      <c r="E23" s="3"/>
      <c r="F23" s="3"/>
      <c r="G23" s="3"/>
      <c r="H23" s="3"/>
      <c r="I23" s="3"/>
      <c r="J23" s="3"/>
      <c r="K23" s="3"/>
      <c r="L23" s="3"/>
      <c r="M23" s="3"/>
      <c r="N23" s="3"/>
      <c r="O23" s="3"/>
      <c r="P23" s="3"/>
      <c r="Q23" s="3"/>
      <c r="R23" s="3"/>
      <c r="S23" s="3"/>
      <c r="T23" s="3"/>
      <c r="U23" s="3"/>
      <c r="V23" s="3"/>
      <c r="W23" s="3"/>
    </row>
    <row r="24" spans="1:24" x14ac:dyDescent="0.2">
      <c r="C24" s="3"/>
      <c r="D24" s="3"/>
      <c r="E24" s="3"/>
      <c r="F24" s="3"/>
      <c r="G24" s="3"/>
      <c r="H24" s="3"/>
      <c r="I24" s="3"/>
      <c r="J24" s="3"/>
      <c r="K24" s="3"/>
      <c r="L24" s="3"/>
      <c r="M24" s="3"/>
      <c r="N24" s="3"/>
      <c r="O24" s="3"/>
      <c r="P24" s="3"/>
      <c r="Q24" s="3"/>
      <c r="R24" s="3"/>
      <c r="S24" s="3"/>
      <c r="T24" s="3"/>
      <c r="U24" s="3"/>
      <c r="V24" s="3"/>
      <c r="W24" s="3"/>
    </row>
    <row r="25" spans="1:24" x14ac:dyDescent="0.2">
      <c r="A25" t="s">
        <v>4</v>
      </c>
      <c r="C25" s="3">
        <f>+SUM(C16,C18:C18,C20,C22)</f>
        <v>0</v>
      </c>
      <c r="D25" s="40">
        <f>+SUM(D20:D22)-SUM(D16:D18)</f>
        <v>1650777.634202454</v>
      </c>
      <c r="E25" s="40">
        <f>+SUM(E20:E22)-SUM(E16:E18)</f>
        <v>599202.13683172257</v>
      </c>
      <c r="F25" s="40">
        <f>+SUM(F20:F22)-SUM(F16:F18)</f>
        <v>635645.38946099393</v>
      </c>
      <c r="G25" s="40">
        <f>+SUM(G20:G22)-SUM(G16:G18)</f>
        <v>672088.64209026506</v>
      </c>
      <c r="H25" s="40">
        <f>+SUM(H20:H22)-SUM(H16:H18)</f>
        <v>708531.89471953665</v>
      </c>
      <c r="I25" s="40">
        <f t="shared" ref="I25:W25" si="2">+SUM(I20:I22)-SUM(I16:I18)</f>
        <v>509149.7710341721</v>
      </c>
      <c r="J25" s="40">
        <f t="shared" si="2"/>
        <v>527371.39734880731</v>
      </c>
      <c r="K25" s="40">
        <f t="shared" si="2"/>
        <v>545593.02366344351</v>
      </c>
      <c r="L25" s="40">
        <f t="shared" si="2"/>
        <v>563814.64997807867</v>
      </c>
      <c r="M25" s="40">
        <f>+SUM(M20:M22)-SUM(M16:M18)</f>
        <v>582036.27629271499</v>
      </c>
      <c r="N25" s="40">
        <f t="shared" si="2"/>
        <v>364432.52629271417</v>
      </c>
      <c r="O25" s="40">
        <f t="shared" si="2"/>
        <v>364432.52629271417</v>
      </c>
      <c r="P25" s="40">
        <f t="shared" si="2"/>
        <v>364432.52629271417</v>
      </c>
      <c r="Q25" s="40">
        <f t="shared" si="2"/>
        <v>364432.52629271417</v>
      </c>
      <c r="R25" s="40">
        <f>+SUM(R20:R22)-SUM(R16:R18)</f>
        <v>364432.52629271417</v>
      </c>
      <c r="S25" s="40">
        <f t="shared" si="2"/>
        <v>364432.52629271417</v>
      </c>
      <c r="T25" s="40">
        <f t="shared" si="2"/>
        <v>364432.52629271417</v>
      </c>
      <c r="U25" s="40">
        <f t="shared" si="2"/>
        <v>364432.52629271417</v>
      </c>
      <c r="V25" s="40">
        <f t="shared" si="2"/>
        <v>364432.52629271417</v>
      </c>
      <c r="W25" s="40">
        <f t="shared" si="2"/>
        <v>364432.52629271417</v>
      </c>
    </row>
    <row r="26" spans="1:24" x14ac:dyDescent="0.2">
      <c r="A26" t="s">
        <v>9</v>
      </c>
      <c r="C26" s="10">
        <f t="shared" ref="C26:W26" si="3">1/(1+$C$10)^C13</f>
        <v>1</v>
      </c>
      <c r="D26" s="10">
        <f>1/(1+$C$10)^D13</f>
        <v>0.91466203237903598</v>
      </c>
      <c r="E26" s="10">
        <f>1/(1+$C$10)^E13</f>
        <v>0.83660663347574871</v>
      </c>
      <c r="F26" s="10">
        <f>1/(1+$C$10)^F13</f>
        <v>0.76521232367671166</v>
      </c>
      <c r="G26" s="10">
        <f>1/(1+$C$10)^G13</f>
        <v>0.69991065917562578</v>
      </c>
      <c r="H26" s="10">
        <f>1/(1+$C$10)^H13</f>
        <v>0.64018170600532864</v>
      </c>
      <c r="I26" s="10">
        <f t="shared" si="3"/>
        <v>0.58554990030671239</v>
      </c>
      <c r="J26" s="10">
        <f t="shared" si="3"/>
        <v>0.53558026187387953</v>
      </c>
      <c r="K26" s="10">
        <f t="shared" si="3"/>
        <v>0.48987493082765893</v>
      </c>
      <c r="L26" s="10">
        <f t="shared" si="3"/>
        <v>0.44806999984236617</v>
      </c>
      <c r="M26" s="10">
        <f>1/(1+$C$10)^M13</f>
        <v>0.40983261670389304</v>
      </c>
      <c r="N26" s="10">
        <f t="shared" si="3"/>
        <v>0.37485833412960123</v>
      </c>
      <c r="O26" s="10">
        <f t="shared" si="3"/>
        <v>0.34286868574920082</v>
      </c>
      <c r="P26" s="10">
        <f t="shared" si="3"/>
        <v>0.31360896894649309</v>
      </c>
      <c r="Q26" s="10">
        <f t="shared" si="3"/>
        <v>0.28684621690889334</v>
      </c>
      <c r="R26" s="10">
        <f>1/(1+$C$10)^R13</f>
        <v>0.26236734373812615</v>
      </c>
      <c r="S26" s="10">
        <f t="shared" si="3"/>
        <v>0.23997744785340364</v>
      </c>
      <c r="T26" s="10">
        <f t="shared" si="3"/>
        <v>0.21949826017872831</v>
      </c>
      <c r="U26" s="10">
        <f t="shared" si="3"/>
        <v>0.20076672475873805</v>
      </c>
      <c r="V26" s="10">
        <f t="shared" si="3"/>
        <v>0.18363370050190989</v>
      </c>
      <c r="W26" s="10">
        <f t="shared" si="3"/>
        <v>0.16796277371436008</v>
      </c>
    </row>
    <row r="27" spans="1:24" x14ac:dyDescent="0.2">
      <c r="A27" t="s">
        <v>8</v>
      </c>
      <c r="C27" s="3">
        <f t="shared" ref="C27:V27" si="4">+C26*C25</f>
        <v>0</v>
      </c>
      <c r="D27" s="124">
        <f t="shared" si="4"/>
        <v>1509903.6259054735</v>
      </c>
      <c r="E27" s="95">
        <f t="shared" si="4"/>
        <v>501296.48246626236</v>
      </c>
      <c r="F27" s="95">
        <f t="shared" si="4"/>
        <v>486403.68550383556</v>
      </c>
      <c r="G27" s="95">
        <f t="shared" si="4"/>
        <v>470402.00450984866</v>
      </c>
      <c r="H27" s="95">
        <f t="shared" si="4"/>
        <v>453589.15712074086</v>
      </c>
      <c r="I27" s="40">
        <f t="shared" si="4"/>
        <v>298132.59767024493</v>
      </c>
      <c r="J27" s="40">
        <f t="shared" si="4"/>
        <v>282449.71109686798</v>
      </c>
      <c r="K27" s="40">
        <f t="shared" si="4"/>
        <v>267272.34472718264</v>
      </c>
      <c r="L27" s="40">
        <f t="shared" si="4"/>
        <v>252628.43012680145</v>
      </c>
      <c r="M27" s="95">
        <f>+M26*M25</f>
        <v>238537.45012963345</v>
      </c>
      <c r="N27" s="40">
        <f t="shared" si="4"/>
        <v>136610.56970872893</v>
      </c>
      <c r="O27" s="40">
        <f t="shared" si="4"/>
        <v>124952.50133424398</v>
      </c>
      <c r="P27" s="40">
        <f t="shared" si="4"/>
        <v>114289.30882122382</v>
      </c>
      <c r="Q27" s="40">
        <f t="shared" si="4"/>
        <v>104536.09148561586</v>
      </c>
      <c r="R27" s="95">
        <f>+R26*R25</f>
        <v>95615.193895194228</v>
      </c>
      <c r="S27" s="40">
        <f t="shared" si="4"/>
        <v>87455.587574493969</v>
      </c>
      <c r="T27" s="40">
        <f t="shared" si="4"/>
        <v>79992.305473789427</v>
      </c>
      <c r="U27" s="40">
        <f t="shared" si="4"/>
        <v>73165.924699340918</v>
      </c>
      <c r="V27" s="40">
        <f t="shared" si="4"/>
        <v>66922.093386390668</v>
      </c>
      <c r="W27" s="95">
        <f>+W26*W25</f>
        <v>61211.097947855735</v>
      </c>
    </row>
    <row r="28" spans="1:24" x14ac:dyDescent="0.2">
      <c r="D28" s="41"/>
      <c r="E28" s="41"/>
      <c r="F28" s="41"/>
      <c r="G28" s="41"/>
      <c r="H28" s="41"/>
      <c r="I28" s="41"/>
      <c r="J28" s="41"/>
      <c r="K28" s="41"/>
      <c r="L28" s="41"/>
      <c r="M28" s="41"/>
      <c r="N28" s="41"/>
      <c r="O28" s="41"/>
      <c r="P28" s="41"/>
      <c r="Q28" s="41"/>
      <c r="R28" s="41"/>
      <c r="S28" s="41"/>
      <c r="T28" s="41"/>
      <c r="U28" s="41"/>
      <c r="V28" s="41"/>
      <c r="W28" s="41"/>
    </row>
    <row r="29" spans="1:24" x14ac:dyDescent="0.2">
      <c r="D29" s="2"/>
    </row>
    <row r="31" spans="1:24" x14ac:dyDescent="0.2">
      <c r="D31" s="37"/>
    </row>
    <row r="32" spans="1:24" x14ac:dyDescent="0.2">
      <c r="F32" s="38"/>
    </row>
    <row r="33" spans="6:6" x14ac:dyDescent="0.2">
      <c r="F33" s="14"/>
    </row>
  </sheetData>
  <sheetProtection algorithmName="SHA-512" hashValue="ou3a6nATR9eKiUIgU70G0j9ydoHAGFCOCpYu0kewQPl970Vifc1wzaawNs7TurqvYaFRulnNvQpsqQw+rhkjUA==" saltValue="vefZSmPGUi9dRxuq4WJzqA==" spinCount="100000" sheet="1" objects="1" scenarios="1"/>
  <pageMargins left="0.7" right="0.7" top="0.75" bottom="0.75" header="0.3" footer="0.3"/>
  <pageSetup paperSize="9" scale="49" fitToHeight="0"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10</vt:i4>
      </vt:variant>
    </vt:vector>
  </HeadingPairs>
  <TitlesOfParts>
    <vt:vector size="10" baseType="lpstr">
      <vt:lpstr>Resumen</vt:lpstr>
      <vt:lpstr>Metodologia</vt:lpstr>
      <vt:lpstr>Costo fiscal Estado Nac</vt:lpstr>
      <vt:lpstr>Ahorro GLP-GN</vt:lpstr>
      <vt:lpstr>Tarifas</vt:lpstr>
      <vt:lpstr>A</vt:lpstr>
      <vt:lpstr>B</vt:lpstr>
      <vt:lpstr>C</vt:lpstr>
      <vt:lpstr>D</vt:lpstr>
      <vt:lpst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Belen Cobas Andrinolo</dc:creator>
  <cp:lastModifiedBy>Microsoft Office User</cp:lastModifiedBy>
  <cp:lastPrinted>2019-10-15T19:50:25Z</cp:lastPrinted>
  <dcterms:created xsi:type="dcterms:W3CDTF">2015-01-28T17:10:08Z</dcterms:created>
  <dcterms:modified xsi:type="dcterms:W3CDTF">2019-11-29T17:37:37Z</dcterms:modified>
  <cp:contentStatus/>
</cp:coreProperties>
</file>